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5\02\"/>
    </mc:Choice>
  </mc:AlternateContent>
  <xr:revisionPtr revIDLastSave="0" documentId="14_{0C3DF197-0904-4A99-9292-7647DA881683}" xr6:coauthVersionLast="47" xr6:coauthVersionMax="47" xr10:uidLastSave="{00000000-0000-0000-0000-000000000000}"/>
  <bookViews>
    <workbookView xWindow="-28920" yWindow="0" windowWidth="29040" windowHeight="15840" tabRatio="500" firstSheet="1" activeTab="3" xr2:uid="{00000000-000D-0000-FFFF-FFFF00000000}"/>
  </bookViews>
  <sheets>
    <sheet name="Conta 11754 - 2019" sheetId="1" state="hidden" r:id="rId1"/>
    <sheet name="Base" sheetId="2" r:id="rId2"/>
    <sheet name="TD" sheetId="3" r:id="rId3"/>
    <sheet name="CONTA 11575-4" sheetId="4" r:id="rId4"/>
    <sheet name="TD5" sheetId="5" r:id="rId5"/>
    <sheet name="CONTA 142981-0" sheetId="6" r:id="rId6"/>
    <sheet name="CONTA 11576-2" sheetId="7" state="hidden" r:id="rId7"/>
    <sheet name="Planilha1" sheetId="8" state="hidden" r:id="rId8"/>
    <sheet name="CONTA 13555-0" sheetId="9" state="hidden" r:id="rId9"/>
    <sheet name="CONTA 3793-1" sheetId="10" state="hidden" r:id="rId10"/>
  </sheets>
  <calcPr calcId="191029" iterateDelta="1E-4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" i="10" l="1"/>
  <c r="F5" i="10"/>
  <c r="E5" i="10"/>
  <c r="I4" i="10"/>
  <c r="H4" i="10"/>
  <c r="G4" i="10"/>
  <c r="F4" i="10"/>
  <c r="E4" i="10"/>
  <c r="I3" i="10"/>
  <c r="H3" i="10"/>
  <c r="G3" i="10"/>
  <c r="F3" i="10"/>
  <c r="E3" i="10"/>
  <c r="M2" i="10"/>
  <c r="M3" i="10" s="1"/>
  <c r="M4" i="10" s="1"/>
  <c r="M5" i="10" s="1"/>
  <c r="M6" i="10" s="1"/>
  <c r="M7" i="10" s="1"/>
  <c r="M8" i="10" s="1"/>
  <c r="M10" i="10" s="1"/>
  <c r="J12" i="9"/>
  <c r="I12" i="9"/>
  <c r="H12" i="9"/>
  <c r="G12" i="9"/>
  <c r="F12" i="9"/>
  <c r="E12" i="9"/>
  <c r="J11" i="9"/>
  <c r="I11" i="9"/>
  <c r="H11" i="9"/>
  <c r="G11" i="9"/>
  <c r="F11" i="9"/>
  <c r="E11" i="9"/>
  <c r="J10" i="9"/>
  <c r="I10" i="9"/>
  <c r="H10" i="9"/>
  <c r="G10" i="9"/>
  <c r="F10" i="9"/>
  <c r="E10" i="9"/>
  <c r="J9" i="9"/>
  <c r="I9" i="9"/>
  <c r="H9" i="9"/>
  <c r="G9" i="9"/>
  <c r="F9" i="9"/>
  <c r="E9" i="9"/>
  <c r="J8" i="9"/>
  <c r="I8" i="9"/>
  <c r="H8" i="9"/>
  <c r="G8" i="9"/>
  <c r="F8" i="9"/>
  <c r="E8" i="9"/>
  <c r="J7" i="9"/>
  <c r="I7" i="9"/>
  <c r="H7" i="9"/>
  <c r="G7" i="9"/>
  <c r="F7" i="9"/>
  <c r="E7" i="9"/>
  <c r="I6" i="9"/>
  <c r="H6" i="9"/>
  <c r="E6" i="9"/>
  <c r="I5" i="9"/>
  <c r="H5" i="9"/>
  <c r="E5" i="9"/>
  <c r="I4" i="9"/>
  <c r="H4" i="9"/>
  <c r="E4" i="9"/>
  <c r="I3" i="9"/>
  <c r="H3" i="9"/>
  <c r="E3" i="9"/>
  <c r="M2" i="9"/>
  <c r="M3" i="9" s="1"/>
  <c r="M4" i="9" s="1"/>
  <c r="M5" i="9" s="1"/>
  <c r="M6" i="9" s="1"/>
  <c r="M7" i="9" s="1"/>
  <c r="M8" i="9" s="1"/>
  <c r="M9" i="9" s="1"/>
  <c r="M10" i="9" s="1"/>
  <c r="M11" i="9" s="1"/>
  <c r="M12" i="9" s="1"/>
  <c r="M14" i="9" s="1"/>
  <c r="I2" i="9"/>
  <c r="H2" i="9"/>
  <c r="G2" i="9"/>
  <c r="F2" i="9"/>
  <c r="E2" i="9"/>
  <c r="E18" i="8"/>
  <c r="E14" i="8"/>
  <c r="E13" i="8"/>
  <c r="E11" i="8"/>
  <c r="E20" i="8" s="1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J26" i="7"/>
  <c r="I26" i="7"/>
  <c r="H26" i="7"/>
  <c r="G26" i="7"/>
  <c r="F26" i="7"/>
  <c r="E26" i="7"/>
  <c r="I25" i="7"/>
  <c r="H25" i="7"/>
  <c r="G25" i="7"/>
  <c r="F25" i="7"/>
  <c r="E25" i="7"/>
  <c r="J24" i="7"/>
  <c r="I24" i="7"/>
  <c r="H24" i="7"/>
  <c r="G24" i="7"/>
  <c r="F24" i="7"/>
  <c r="E24" i="7"/>
  <c r="J23" i="7"/>
  <c r="I23" i="7"/>
  <c r="H23" i="7"/>
  <c r="G23" i="7"/>
  <c r="F23" i="7"/>
  <c r="E23" i="7"/>
  <c r="I22" i="7"/>
  <c r="H22" i="7"/>
  <c r="G22" i="7"/>
  <c r="F22" i="7"/>
  <c r="E22" i="7"/>
  <c r="J21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E18" i="7"/>
  <c r="I17" i="7"/>
  <c r="H17" i="7"/>
  <c r="G17" i="7"/>
  <c r="E17" i="7"/>
  <c r="J16" i="7"/>
  <c r="I16" i="7"/>
  <c r="H16" i="7"/>
  <c r="G16" i="7"/>
  <c r="F16" i="7"/>
  <c r="E16" i="7"/>
  <c r="J15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J12" i="7"/>
  <c r="I12" i="7"/>
  <c r="H12" i="7"/>
  <c r="G12" i="7"/>
  <c r="F12" i="7"/>
  <c r="E12" i="7"/>
  <c r="J11" i="7"/>
  <c r="I11" i="7"/>
  <c r="H11" i="7"/>
  <c r="G11" i="7"/>
  <c r="F11" i="7"/>
  <c r="E11" i="7"/>
  <c r="I10" i="7"/>
  <c r="H10" i="7"/>
  <c r="G10" i="7"/>
  <c r="E10" i="7"/>
  <c r="J9" i="7"/>
  <c r="I9" i="7"/>
  <c r="H9" i="7"/>
  <c r="G9" i="7"/>
  <c r="F9" i="7"/>
  <c r="E9" i="7"/>
  <c r="J8" i="7"/>
  <c r="I8" i="7"/>
  <c r="H8" i="7"/>
  <c r="G8" i="7"/>
  <c r="F8" i="7"/>
  <c r="E8" i="7"/>
  <c r="I7" i="7"/>
  <c r="H7" i="7"/>
  <c r="G7" i="7"/>
  <c r="F7" i="7"/>
  <c r="E7" i="7"/>
  <c r="I6" i="7"/>
  <c r="H6" i="7"/>
  <c r="G6" i="7"/>
  <c r="E6" i="7"/>
  <c r="J5" i="7"/>
  <c r="I5" i="7"/>
  <c r="H5" i="7"/>
  <c r="G5" i="7"/>
  <c r="F5" i="7"/>
  <c r="E5" i="7"/>
  <c r="J4" i="7"/>
  <c r="I4" i="7"/>
  <c r="H4" i="7"/>
  <c r="G4" i="7"/>
  <c r="F4" i="7"/>
  <c r="E4" i="7"/>
  <c r="I3" i="7"/>
  <c r="H3" i="7"/>
  <c r="G3" i="7"/>
  <c r="F3" i="7"/>
  <c r="E3" i="7"/>
  <c r="M2" i="7"/>
  <c r="M3" i="7" s="1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I2" i="7"/>
  <c r="H2" i="7"/>
  <c r="G2" i="7"/>
  <c r="E2" i="7"/>
  <c r="J128" i="6"/>
  <c r="H128" i="6"/>
  <c r="G128" i="6"/>
  <c r="F128" i="6"/>
  <c r="E128" i="6"/>
  <c r="J127" i="6"/>
  <c r="H127" i="6"/>
  <c r="G127" i="6"/>
  <c r="F127" i="6"/>
  <c r="E127" i="6"/>
  <c r="J126" i="6"/>
  <c r="H126" i="6"/>
  <c r="G126" i="6"/>
  <c r="F126" i="6"/>
  <c r="E126" i="6"/>
  <c r="H125" i="6"/>
  <c r="E125" i="6"/>
  <c r="J124" i="6"/>
  <c r="H124" i="6"/>
  <c r="G124" i="6"/>
  <c r="F124" i="6"/>
  <c r="E124" i="6"/>
  <c r="J123" i="6"/>
  <c r="H123" i="6"/>
  <c r="G123" i="6"/>
  <c r="F123" i="6"/>
  <c r="E123" i="6"/>
  <c r="J122" i="6"/>
  <c r="H122" i="6"/>
  <c r="G122" i="6"/>
  <c r="F122" i="6"/>
  <c r="E122" i="6"/>
  <c r="J121" i="6"/>
  <c r="H121" i="6"/>
  <c r="G121" i="6"/>
  <c r="F121" i="6"/>
  <c r="E121" i="6"/>
  <c r="J120" i="6"/>
  <c r="H120" i="6"/>
  <c r="G120" i="6"/>
  <c r="F120" i="6"/>
  <c r="E120" i="6"/>
  <c r="J119" i="6"/>
  <c r="H119" i="6"/>
  <c r="G119" i="6"/>
  <c r="F119" i="6"/>
  <c r="E119" i="6"/>
  <c r="J118" i="6"/>
  <c r="H118" i="6"/>
  <c r="G118" i="6"/>
  <c r="F118" i="6"/>
  <c r="E118" i="6"/>
  <c r="J117" i="6"/>
  <c r="H117" i="6"/>
  <c r="G117" i="6"/>
  <c r="F117" i="6"/>
  <c r="E117" i="6"/>
  <c r="J116" i="6"/>
  <c r="H116" i="6"/>
  <c r="G116" i="6"/>
  <c r="F116" i="6"/>
  <c r="E116" i="6"/>
  <c r="J115" i="6"/>
  <c r="H115" i="6"/>
  <c r="G115" i="6"/>
  <c r="F115" i="6"/>
  <c r="E115" i="6"/>
  <c r="J114" i="6"/>
  <c r="H114" i="6"/>
  <c r="G114" i="6"/>
  <c r="F114" i="6"/>
  <c r="E114" i="6"/>
  <c r="J113" i="6"/>
  <c r="H113" i="6"/>
  <c r="G113" i="6"/>
  <c r="F113" i="6"/>
  <c r="E113" i="6"/>
  <c r="J112" i="6"/>
  <c r="H112" i="6"/>
  <c r="G112" i="6"/>
  <c r="F112" i="6"/>
  <c r="E112" i="6"/>
  <c r="J111" i="6"/>
  <c r="H111" i="6"/>
  <c r="G111" i="6"/>
  <c r="F111" i="6"/>
  <c r="E111" i="6"/>
  <c r="J110" i="6"/>
  <c r="H110" i="6"/>
  <c r="G110" i="6"/>
  <c r="F110" i="6"/>
  <c r="E110" i="6"/>
  <c r="J109" i="6"/>
  <c r="H109" i="6"/>
  <c r="G109" i="6"/>
  <c r="F109" i="6"/>
  <c r="E109" i="6"/>
  <c r="J108" i="6"/>
  <c r="H108" i="6"/>
  <c r="G108" i="6"/>
  <c r="F108" i="6"/>
  <c r="E108" i="6"/>
  <c r="J107" i="6"/>
  <c r="H107" i="6"/>
  <c r="G107" i="6"/>
  <c r="F107" i="6"/>
  <c r="E107" i="6"/>
  <c r="J106" i="6"/>
  <c r="H106" i="6"/>
  <c r="G106" i="6"/>
  <c r="F106" i="6"/>
  <c r="E106" i="6"/>
  <c r="J105" i="6"/>
  <c r="H105" i="6"/>
  <c r="G105" i="6"/>
  <c r="F105" i="6"/>
  <c r="E105" i="6"/>
  <c r="J104" i="6"/>
  <c r="H104" i="6"/>
  <c r="G104" i="6"/>
  <c r="F104" i="6"/>
  <c r="E104" i="6"/>
  <c r="J103" i="6"/>
  <c r="H103" i="6"/>
  <c r="G103" i="6"/>
  <c r="F103" i="6"/>
  <c r="E103" i="6"/>
  <c r="J102" i="6"/>
  <c r="H102" i="6"/>
  <c r="G102" i="6"/>
  <c r="F102" i="6"/>
  <c r="E102" i="6"/>
  <c r="J101" i="6"/>
  <c r="H101" i="6"/>
  <c r="G101" i="6"/>
  <c r="F101" i="6"/>
  <c r="E101" i="6"/>
  <c r="J100" i="6"/>
  <c r="H100" i="6"/>
  <c r="G100" i="6"/>
  <c r="F100" i="6"/>
  <c r="E100" i="6"/>
  <c r="J99" i="6"/>
  <c r="H99" i="6"/>
  <c r="G99" i="6"/>
  <c r="F99" i="6"/>
  <c r="E99" i="6"/>
  <c r="J98" i="6"/>
  <c r="H98" i="6"/>
  <c r="G98" i="6"/>
  <c r="F98" i="6"/>
  <c r="E98" i="6"/>
  <c r="J97" i="6"/>
  <c r="H97" i="6"/>
  <c r="G97" i="6"/>
  <c r="F97" i="6"/>
  <c r="E97" i="6"/>
  <c r="J96" i="6"/>
  <c r="H96" i="6"/>
  <c r="G96" i="6"/>
  <c r="F96" i="6"/>
  <c r="E96" i="6"/>
  <c r="J95" i="6"/>
  <c r="H95" i="6"/>
  <c r="G95" i="6"/>
  <c r="F95" i="6"/>
  <c r="E95" i="6"/>
  <c r="J94" i="6"/>
  <c r="H94" i="6"/>
  <c r="G94" i="6"/>
  <c r="F94" i="6"/>
  <c r="E94" i="6"/>
  <c r="J93" i="6"/>
  <c r="H93" i="6"/>
  <c r="G93" i="6"/>
  <c r="F93" i="6"/>
  <c r="E93" i="6"/>
  <c r="J92" i="6"/>
  <c r="H92" i="6"/>
  <c r="G92" i="6"/>
  <c r="F92" i="6"/>
  <c r="E92" i="6"/>
  <c r="J91" i="6"/>
  <c r="H91" i="6"/>
  <c r="G91" i="6"/>
  <c r="F91" i="6"/>
  <c r="E91" i="6"/>
  <c r="J90" i="6"/>
  <c r="H90" i="6"/>
  <c r="G90" i="6"/>
  <c r="F90" i="6"/>
  <c r="E90" i="6"/>
  <c r="J89" i="6"/>
  <c r="H89" i="6"/>
  <c r="G89" i="6"/>
  <c r="F89" i="6"/>
  <c r="E89" i="6"/>
  <c r="J88" i="6"/>
  <c r="H88" i="6"/>
  <c r="G88" i="6"/>
  <c r="F88" i="6"/>
  <c r="E88" i="6"/>
  <c r="J87" i="6"/>
  <c r="H87" i="6"/>
  <c r="G87" i="6"/>
  <c r="F87" i="6"/>
  <c r="E87" i="6"/>
  <c r="E86" i="6"/>
  <c r="H85" i="6"/>
  <c r="E85" i="6"/>
  <c r="J84" i="6"/>
  <c r="H84" i="6"/>
  <c r="G84" i="6"/>
  <c r="F84" i="6"/>
  <c r="E84" i="6"/>
  <c r="J83" i="6"/>
  <c r="H83" i="6"/>
  <c r="G83" i="6"/>
  <c r="F83" i="6"/>
  <c r="E83" i="6"/>
  <c r="J82" i="6"/>
  <c r="H82" i="6"/>
  <c r="G82" i="6"/>
  <c r="F82" i="6"/>
  <c r="E82" i="6"/>
  <c r="J81" i="6"/>
  <c r="H81" i="6"/>
  <c r="G81" i="6"/>
  <c r="F81" i="6"/>
  <c r="E81" i="6"/>
  <c r="J80" i="6"/>
  <c r="H80" i="6"/>
  <c r="G80" i="6"/>
  <c r="F80" i="6"/>
  <c r="E80" i="6"/>
  <c r="J79" i="6"/>
  <c r="H79" i="6"/>
  <c r="G79" i="6"/>
  <c r="F79" i="6"/>
  <c r="E79" i="6"/>
  <c r="J78" i="6"/>
  <c r="H78" i="6"/>
  <c r="G78" i="6"/>
  <c r="F78" i="6"/>
  <c r="E78" i="6"/>
  <c r="J77" i="6"/>
  <c r="H77" i="6"/>
  <c r="G77" i="6"/>
  <c r="F77" i="6"/>
  <c r="E77" i="6"/>
  <c r="J76" i="6"/>
  <c r="H76" i="6"/>
  <c r="G76" i="6"/>
  <c r="F76" i="6"/>
  <c r="E76" i="6"/>
  <c r="J75" i="6"/>
  <c r="H75" i="6"/>
  <c r="G75" i="6"/>
  <c r="F75" i="6"/>
  <c r="E75" i="6"/>
  <c r="J74" i="6"/>
  <c r="H74" i="6"/>
  <c r="G74" i="6"/>
  <c r="F74" i="6"/>
  <c r="E74" i="6"/>
  <c r="J73" i="6"/>
  <c r="H73" i="6"/>
  <c r="G73" i="6"/>
  <c r="F73" i="6"/>
  <c r="E73" i="6"/>
  <c r="J72" i="6"/>
  <c r="H72" i="6"/>
  <c r="G72" i="6"/>
  <c r="F72" i="6"/>
  <c r="E72" i="6"/>
  <c r="J71" i="6"/>
  <c r="H71" i="6"/>
  <c r="G71" i="6"/>
  <c r="F71" i="6"/>
  <c r="E71" i="6"/>
  <c r="J70" i="6"/>
  <c r="H70" i="6"/>
  <c r="G70" i="6"/>
  <c r="F70" i="6"/>
  <c r="E70" i="6"/>
  <c r="J69" i="6"/>
  <c r="H69" i="6"/>
  <c r="G69" i="6"/>
  <c r="F69" i="6"/>
  <c r="E69" i="6"/>
  <c r="J68" i="6"/>
  <c r="H68" i="6"/>
  <c r="G68" i="6"/>
  <c r="F68" i="6"/>
  <c r="E68" i="6"/>
  <c r="J67" i="6"/>
  <c r="H67" i="6"/>
  <c r="G67" i="6"/>
  <c r="F67" i="6"/>
  <c r="E67" i="6"/>
  <c r="J66" i="6"/>
  <c r="H66" i="6"/>
  <c r="G66" i="6"/>
  <c r="F66" i="6"/>
  <c r="E66" i="6"/>
  <c r="J65" i="6"/>
  <c r="H65" i="6"/>
  <c r="G65" i="6"/>
  <c r="F65" i="6"/>
  <c r="E65" i="6"/>
  <c r="J64" i="6"/>
  <c r="H64" i="6"/>
  <c r="G64" i="6"/>
  <c r="F64" i="6"/>
  <c r="E64" i="6"/>
  <c r="J63" i="6"/>
  <c r="H63" i="6"/>
  <c r="G63" i="6"/>
  <c r="F63" i="6"/>
  <c r="E63" i="6"/>
  <c r="J62" i="6"/>
  <c r="H62" i="6"/>
  <c r="G62" i="6"/>
  <c r="F62" i="6"/>
  <c r="E62" i="6"/>
  <c r="J61" i="6"/>
  <c r="H61" i="6"/>
  <c r="G61" i="6"/>
  <c r="F61" i="6"/>
  <c r="E61" i="6"/>
  <c r="J60" i="6"/>
  <c r="H60" i="6"/>
  <c r="G60" i="6"/>
  <c r="F60" i="6"/>
  <c r="E60" i="6"/>
  <c r="J59" i="6"/>
  <c r="H59" i="6"/>
  <c r="G59" i="6"/>
  <c r="F59" i="6"/>
  <c r="E59" i="6"/>
  <c r="J58" i="6"/>
  <c r="H58" i="6"/>
  <c r="G58" i="6"/>
  <c r="F58" i="6"/>
  <c r="E58" i="6"/>
  <c r="J57" i="6"/>
  <c r="H57" i="6"/>
  <c r="G57" i="6"/>
  <c r="F57" i="6"/>
  <c r="E57" i="6"/>
  <c r="J56" i="6"/>
  <c r="H56" i="6"/>
  <c r="G56" i="6"/>
  <c r="F56" i="6"/>
  <c r="E56" i="6"/>
  <c r="J55" i="6"/>
  <c r="H55" i="6"/>
  <c r="G55" i="6"/>
  <c r="F55" i="6"/>
  <c r="E55" i="6"/>
  <c r="J54" i="6"/>
  <c r="H54" i="6"/>
  <c r="G54" i="6"/>
  <c r="F54" i="6"/>
  <c r="E54" i="6"/>
  <c r="J53" i="6"/>
  <c r="H53" i="6"/>
  <c r="G53" i="6"/>
  <c r="F53" i="6"/>
  <c r="E53" i="6"/>
  <c r="J52" i="6"/>
  <c r="H52" i="6"/>
  <c r="G52" i="6"/>
  <c r="F52" i="6"/>
  <c r="E52" i="6"/>
  <c r="J51" i="6"/>
  <c r="H51" i="6"/>
  <c r="G51" i="6"/>
  <c r="F51" i="6"/>
  <c r="E51" i="6"/>
  <c r="J50" i="6"/>
  <c r="H50" i="6"/>
  <c r="G50" i="6"/>
  <c r="F50" i="6"/>
  <c r="E50" i="6"/>
  <c r="J49" i="6"/>
  <c r="H49" i="6"/>
  <c r="G49" i="6"/>
  <c r="F49" i="6"/>
  <c r="E49" i="6"/>
  <c r="J48" i="6"/>
  <c r="H48" i="6"/>
  <c r="G48" i="6"/>
  <c r="F48" i="6"/>
  <c r="E48" i="6"/>
  <c r="E47" i="6"/>
  <c r="J46" i="6"/>
  <c r="G46" i="6"/>
  <c r="F46" i="6"/>
  <c r="E46" i="6"/>
  <c r="J45" i="6"/>
  <c r="G45" i="6"/>
  <c r="F45" i="6"/>
  <c r="E45" i="6"/>
  <c r="J44" i="6"/>
  <c r="G44" i="6"/>
  <c r="F44" i="6"/>
  <c r="E44" i="6"/>
  <c r="J43" i="6"/>
  <c r="G43" i="6"/>
  <c r="F43" i="6"/>
  <c r="E43" i="6"/>
  <c r="J42" i="6"/>
  <c r="G42" i="6"/>
  <c r="F42" i="6"/>
  <c r="E42" i="6"/>
  <c r="J41" i="6"/>
  <c r="G41" i="6"/>
  <c r="F41" i="6"/>
  <c r="E41" i="6"/>
  <c r="J40" i="6"/>
  <c r="G40" i="6"/>
  <c r="F40" i="6"/>
  <c r="E40" i="6"/>
  <c r="J39" i="6"/>
  <c r="H39" i="6"/>
  <c r="G39" i="6"/>
  <c r="F39" i="6"/>
  <c r="E39" i="6"/>
  <c r="J38" i="6"/>
  <c r="G38" i="6"/>
  <c r="F38" i="6"/>
  <c r="E38" i="6"/>
  <c r="J37" i="6"/>
  <c r="H37" i="6"/>
  <c r="G37" i="6"/>
  <c r="F37" i="6"/>
  <c r="E37" i="6"/>
  <c r="J36" i="6"/>
  <c r="H36" i="6"/>
  <c r="G36" i="6"/>
  <c r="F36" i="6"/>
  <c r="E36" i="6"/>
  <c r="J35" i="6"/>
  <c r="H35" i="6"/>
  <c r="G35" i="6"/>
  <c r="F35" i="6"/>
  <c r="E35" i="6"/>
  <c r="J34" i="6"/>
  <c r="H34" i="6"/>
  <c r="G34" i="6"/>
  <c r="F34" i="6"/>
  <c r="E34" i="6"/>
  <c r="J33" i="6"/>
  <c r="H33" i="6"/>
  <c r="G33" i="6"/>
  <c r="F33" i="6"/>
  <c r="E33" i="6"/>
  <c r="J32" i="6"/>
  <c r="G32" i="6"/>
  <c r="F32" i="6"/>
  <c r="E32" i="6"/>
  <c r="J31" i="6"/>
  <c r="G31" i="6"/>
  <c r="F31" i="6"/>
  <c r="E31" i="6"/>
  <c r="J30" i="6"/>
  <c r="G30" i="6"/>
  <c r="F30" i="6"/>
  <c r="E30" i="6"/>
  <c r="J29" i="6"/>
  <c r="G29" i="6"/>
  <c r="F29" i="6"/>
  <c r="E29" i="6"/>
  <c r="J28" i="6"/>
  <c r="G28" i="6"/>
  <c r="F28" i="6"/>
  <c r="E28" i="6"/>
  <c r="J27" i="6"/>
  <c r="H27" i="6"/>
  <c r="G27" i="6"/>
  <c r="F27" i="6"/>
  <c r="E27" i="6"/>
  <c r="J26" i="6"/>
  <c r="H26" i="6"/>
  <c r="G26" i="6"/>
  <c r="F26" i="6"/>
  <c r="E26" i="6"/>
  <c r="J25" i="6"/>
  <c r="H25" i="6"/>
  <c r="G25" i="6"/>
  <c r="F25" i="6"/>
  <c r="E25" i="6"/>
  <c r="J24" i="6"/>
  <c r="H24" i="6"/>
  <c r="G24" i="6"/>
  <c r="F24" i="6"/>
  <c r="E24" i="6"/>
  <c r="E23" i="6"/>
  <c r="J22" i="6"/>
  <c r="G22" i="6"/>
  <c r="F22" i="6"/>
  <c r="E22" i="6"/>
  <c r="J21" i="6"/>
  <c r="G21" i="6"/>
  <c r="F21" i="6"/>
  <c r="E21" i="6"/>
  <c r="J20" i="6"/>
  <c r="H20" i="6"/>
  <c r="G20" i="6"/>
  <c r="F20" i="6"/>
  <c r="E20" i="6"/>
  <c r="J19" i="6"/>
  <c r="H19" i="6"/>
  <c r="G19" i="6"/>
  <c r="F19" i="6"/>
  <c r="E19" i="6"/>
  <c r="J18" i="6"/>
  <c r="H18" i="6"/>
  <c r="G18" i="6"/>
  <c r="F18" i="6"/>
  <c r="E18" i="6"/>
  <c r="J17" i="6"/>
  <c r="H17" i="6"/>
  <c r="G17" i="6"/>
  <c r="F17" i="6"/>
  <c r="E17" i="6"/>
  <c r="J16" i="6"/>
  <c r="H16" i="6"/>
  <c r="G16" i="6"/>
  <c r="F16" i="6"/>
  <c r="E16" i="6"/>
  <c r="J15" i="6"/>
  <c r="H15" i="6"/>
  <c r="G15" i="6"/>
  <c r="F15" i="6"/>
  <c r="E15" i="6"/>
  <c r="J14" i="6"/>
  <c r="H14" i="6"/>
  <c r="G14" i="6"/>
  <c r="F14" i="6"/>
  <c r="E14" i="6"/>
  <c r="J13" i="6"/>
  <c r="H13" i="6"/>
  <c r="G13" i="6"/>
  <c r="F13" i="6"/>
  <c r="E13" i="6"/>
  <c r="J12" i="6"/>
  <c r="H12" i="6"/>
  <c r="G12" i="6"/>
  <c r="F12" i="6"/>
  <c r="E12" i="6"/>
  <c r="J11" i="6"/>
  <c r="H11" i="6"/>
  <c r="G11" i="6"/>
  <c r="F11" i="6"/>
  <c r="E11" i="6"/>
  <c r="J10" i="6"/>
  <c r="H10" i="6"/>
  <c r="G10" i="6"/>
  <c r="F10" i="6"/>
  <c r="E10" i="6"/>
  <c r="J9" i="6"/>
  <c r="H9" i="6"/>
  <c r="G9" i="6"/>
  <c r="F9" i="6"/>
  <c r="E9" i="6"/>
  <c r="H8" i="6"/>
  <c r="F8" i="6"/>
  <c r="E8" i="6"/>
  <c r="H7" i="6"/>
  <c r="F7" i="6"/>
  <c r="E7" i="6"/>
  <c r="J6" i="6"/>
  <c r="H6" i="6"/>
  <c r="G6" i="6"/>
  <c r="F6" i="6"/>
  <c r="E6" i="6"/>
  <c r="J5" i="6"/>
  <c r="H5" i="6"/>
  <c r="G5" i="6"/>
  <c r="F5" i="6"/>
  <c r="E5" i="6"/>
  <c r="J4" i="6"/>
  <c r="H4" i="6"/>
  <c r="G4" i="6"/>
  <c r="F4" i="6"/>
  <c r="E4" i="6"/>
  <c r="M3" i="6"/>
  <c r="M4" i="6" s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J3" i="6"/>
  <c r="H3" i="6"/>
  <c r="G3" i="6"/>
  <c r="F3" i="6"/>
  <c r="E3" i="6"/>
  <c r="E82" i="4"/>
  <c r="J81" i="4"/>
  <c r="H81" i="4"/>
  <c r="G81" i="4"/>
  <c r="F81" i="4"/>
  <c r="E81" i="4"/>
  <c r="J80" i="4"/>
  <c r="H80" i="4"/>
  <c r="E80" i="4"/>
  <c r="H79" i="4"/>
  <c r="G79" i="4"/>
  <c r="F79" i="4"/>
  <c r="E79" i="4"/>
  <c r="H78" i="4"/>
  <c r="G78" i="4"/>
  <c r="F78" i="4"/>
  <c r="E78" i="4"/>
  <c r="H77" i="4"/>
  <c r="G77" i="4"/>
  <c r="F77" i="4"/>
  <c r="E77" i="4"/>
  <c r="H76" i="4"/>
  <c r="G76" i="4"/>
  <c r="F76" i="4"/>
  <c r="E76" i="4"/>
  <c r="J75" i="4"/>
  <c r="H75" i="4"/>
  <c r="G75" i="4"/>
  <c r="F75" i="4"/>
  <c r="E75" i="4"/>
  <c r="J74" i="4"/>
  <c r="H74" i="4"/>
  <c r="G74" i="4"/>
  <c r="F74" i="4"/>
  <c r="E74" i="4"/>
  <c r="J73" i="4"/>
  <c r="H73" i="4"/>
  <c r="G73" i="4"/>
  <c r="F73" i="4"/>
  <c r="E73" i="4"/>
  <c r="H72" i="4"/>
  <c r="G72" i="4"/>
  <c r="F72" i="4"/>
  <c r="E72" i="4"/>
  <c r="H71" i="4"/>
  <c r="G71" i="4"/>
  <c r="F71" i="4"/>
  <c r="E71" i="4"/>
  <c r="J70" i="4"/>
  <c r="H70" i="4"/>
  <c r="G70" i="4"/>
  <c r="F70" i="4"/>
  <c r="E70" i="4"/>
  <c r="J69" i="4"/>
  <c r="H69" i="4"/>
  <c r="G69" i="4"/>
  <c r="F69" i="4"/>
  <c r="E69" i="4"/>
  <c r="J68" i="4"/>
  <c r="H68" i="4"/>
  <c r="G68" i="4"/>
  <c r="F68" i="4"/>
  <c r="E68" i="4"/>
  <c r="H67" i="4"/>
  <c r="E67" i="4"/>
  <c r="H66" i="4"/>
  <c r="E66" i="4"/>
  <c r="J65" i="4"/>
  <c r="H65" i="4"/>
  <c r="G65" i="4"/>
  <c r="F65" i="4"/>
  <c r="E65" i="4"/>
  <c r="J64" i="4"/>
  <c r="H64" i="4"/>
  <c r="G64" i="4"/>
  <c r="F64" i="4"/>
  <c r="E64" i="4"/>
  <c r="J63" i="4"/>
  <c r="H63" i="4"/>
  <c r="G63" i="4"/>
  <c r="F63" i="4"/>
  <c r="E63" i="4"/>
  <c r="J62" i="4"/>
  <c r="H62" i="4"/>
  <c r="G62" i="4"/>
  <c r="F62" i="4"/>
  <c r="E62" i="4"/>
  <c r="J61" i="4"/>
  <c r="H61" i="4"/>
  <c r="G61" i="4"/>
  <c r="F61" i="4"/>
  <c r="E61" i="4"/>
  <c r="H60" i="4"/>
  <c r="G60" i="4"/>
  <c r="F60" i="4"/>
  <c r="E60" i="4"/>
  <c r="J59" i="4"/>
  <c r="H59" i="4"/>
  <c r="G59" i="4"/>
  <c r="F59" i="4"/>
  <c r="E59" i="4"/>
  <c r="H58" i="4"/>
  <c r="G58" i="4"/>
  <c r="F58" i="4"/>
  <c r="E58" i="4"/>
  <c r="J57" i="4"/>
  <c r="H57" i="4"/>
  <c r="G57" i="4"/>
  <c r="F57" i="4"/>
  <c r="E57" i="4"/>
  <c r="J56" i="4"/>
  <c r="H56" i="4"/>
  <c r="G56" i="4"/>
  <c r="F56" i="4"/>
  <c r="E56" i="4"/>
  <c r="H55" i="4"/>
  <c r="G55" i="4"/>
  <c r="F55" i="4"/>
  <c r="E55" i="4"/>
  <c r="J54" i="4"/>
  <c r="H54" i="4"/>
  <c r="G54" i="4"/>
  <c r="F54" i="4"/>
  <c r="E54" i="4"/>
  <c r="J53" i="4"/>
  <c r="H53" i="4"/>
  <c r="G53" i="4"/>
  <c r="F53" i="4"/>
  <c r="E53" i="4"/>
  <c r="J52" i="4"/>
  <c r="H52" i="4"/>
  <c r="G52" i="4"/>
  <c r="F52" i="4"/>
  <c r="E52" i="4"/>
  <c r="H51" i="4"/>
  <c r="G51" i="4"/>
  <c r="F51" i="4"/>
  <c r="E51" i="4"/>
  <c r="H50" i="4"/>
  <c r="G50" i="4"/>
  <c r="F50" i="4"/>
  <c r="E50" i="4"/>
  <c r="H49" i="4"/>
  <c r="G49" i="4"/>
  <c r="F49" i="4"/>
  <c r="E49" i="4"/>
  <c r="J48" i="4"/>
  <c r="H48" i="4"/>
  <c r="G48" i="4"/>
  <c r="F48" i="4"/>
  <c r="E48" i="4"/>
  <c r="J47" i="4"/>
  <c r="H47" i="4"/>
  <c r="G47" i="4"/>
  <c r="F47" i="4"/>
  <c r="E47" i="4"/>
  <c r="J46" i="4"/>
  <c r="H46" i="4"/>
  <c r="G46" i="4"/>
  <c r="F46" i="4"/>
  <c r="E46" i="4"/>
  <c r="H45" i="4"/>
  <c r="G45" i="4"/>
  <c r="E45" i="4"/>
  <c r="H44" i="4"/>
  <c r="G44" i="4"/>
  <c r="F44" i="4"/>
  <c r="E44" i="4"/>
  <c r="J43" i="4"/>
  <c r="H43" i="4"/>
  <c r="G43" i="4"/>
  <c r="F43" i="4"/>
  <c r="E43" i="4"/>
  <c r="J42" i="4"/>
  <c r="H42" i="4"/>
  <c r="G42" i="4"/>
  <c r="F42" i="4"/>
  <c r="E42" i="4"/>
  <c r="J41" i="4"/>
  <c r="H41" i="4"/>
  <c r="G41" i="4"/>
  <c r="F41" i="4"/>
  <c r="E41" i="4"/>
  <c r="J40" i="4"/>
  <c r="H40" i="4"/>
  <c r="G40" i="4"/>
  <c r="F40" i="4"/>
  <c r="E40" i="4"/>
  <c r="H39" i="4"/>
  <c r="G39" i="4"/>
  <c r="F39" i="4"/>
  <c r="E39" i="4"/>
  <c r="J38" i="4"/>
  <c r="H38" i="4"/>
  <c r="G38" i="4"/>
  <c r="F38" i="4"/>
  <c r="E38" i="4"/>
  <c r="J37" i="4"/>
  <c r="H37" i="4"/>
  <c r="G37" i="4"/>
  <c r="F37" i="4"/>
  <c r="E37" i="4"/>
  <c r="J36" i="4"/>
  <c r="H36" i="4"/>
  <c r="G36" i="4"/>
  <c r="F36" i="4"/>
  <c r="E36" i="4"/>
  <c r="J35" i="4"/>
  <c r="H35" i="4"/>
  <c r="G35" i="4"/>
  <c r="F35" i="4"/>
  <c r="E35" i="4"/>
  <c r="J34" i="4"/>
  <c r="H34" i="4"/>
  <c r="G34" i="4"/>
  <c r="F34" i="4"/>
  <c r="E34" i="4"/>
  <c r="H33" i="4"/>
  <c r="G33" i="4"/>
  <c r="E33" i="4"/>
  <c r="H32" i="4"/>
  <c r="G32" i="4"/>
  <c r="E32" i="4"/>
  <c r="H31" i="4"/>
  <c r="G31" i="4"/>
  <c r="E31" i="4"/>
  <c r="J30" i="4"/>
  <c r="H30" i="4"/>
  <c r="G30" i="4"/>
  <c r="F30" i="4"/>
  <c r="E30" i="4"/>
  <c r="J29" i="4"/>
  <c r="H29" i="4"/>
  <c r="G29" i="4"/>
  <c r="F29" i="4"/>
  <c r="E29" i="4"/>
  <c r="J28" i="4"/>
  <c r="H28" i="4"/>
  <c r="G28" i="4"/>
  <c r="F28" i="4"/>
  <c r="E28" i="4"/>
  <c r="J27" i="4"/>
  <c r="H27" i="4"/>
  <c r="G27" i="4"/>
  <c r="F27" i="4"/>
  <c r="E27" i="4"/>
  <c r="J26" i="4"/>
  <c r="H26" i="4"/>
  <c r="G26" i="4"/>
  <c r="F26" i="4"/>
  <c r="E26" i="4"/>
  <c r="J25" i="4"/>
  <c r="H25" i="4"/>
  <c r="G25" i="4"/>
  <c r="F25" i="4"/>
  <c r="E25" i="4"/>
  <c r="J24" i="4"/>
  <c r="H24" i="4"/>
  <c r="G24" i="4"/>
  <c r="F24" i="4"/>
  <c r="E24" i="4"/>
  <c r="H23" i="4"/>
  <c r="G23" i="4"/>
  <c r="F23" i="4"/>
  <c r="E23" i="4"/>
  <c r="H22" i="4"/>
  <c r="G22" i="4"/>
  <c r="F22" i="4"/>
  <c r="E22" i="4"/>
  <c r="J21" i="4"/>
  <c r="H21" i="4"/>
  <c r="G21" i="4"/>
  <c r="F21" i="4"/>
  <c r="E21" i="4"/>
  <c r="J20" i="4"/>
  <c r="H20" i="4"/>
  <c r="G20" i="4"/>
  <c r="F20" i="4"/>
  <c r="E20" i="4"/>
  <c r="J19" i="4"/>
  <c r="H19" i="4"/>
  <c r="G19" i="4"/>
  <c r="F19" i="4"/>
  <c r="E19" i="4"/>
  <c r="H18" i="4"/>
  <c r="G18" i="4"/>
  <c r="F18" i="4"/>
  <c r="E18" i="4"/>
  <c r="J17" i="4"/>
  <c r="H17" i="4"/>
  <c r="G17" i="4"/>
  <c r="F17" i="4"/>
  <c r="E17" i="4"/>
  <c r="J16" i="4"/>
  <c r="F16" i="4"/>
  <c r="E16" i="4"/>
  <c r="H15" i="4"/>
  <c r="G15" i="4"/>
  <c r="E15" i="4"/>
  <c r="H14" i="4"/>
  <c r="G14" i="4"/>
  <c r="F14" i="4"/>
  <c r="E14" i="4"/>
  <c r="J13" i="4"/>
  <c r="H13" i="4"/>
  <c r="G13" i="4"/>
  <c r="F13" i="4"/>
  <c r="E13" i="4"/>
  <c r="J12" i="4"/>
  <c r="H12" i="4"/>
  <c r="G12" i="4"/>
  <c r="F12" i="4"/>
  <c r="E12" i="4"/>
  <c r="J11" i="4"/>
  <c r="H11" i="4"/>
  <c r="G11" i="4"/>
  <c r="F11" i="4"/>
  <c r="E11" i="4"/>
  <c r="J10" i="4"/>
  <c r="H10" i="4"/>
  <c r="G10" i="4"/>
  <c r="F10" i="4"/>
  <c r="E10" i="4"/>
  <c r="J9" i="4"/>
  <c r="H9" i="4"/>
  <c r="F9" i="4"/>
  <c r="E9" i="4"/>
  <c r="H8" i="4"/>
  <c r="G8" i="4"/>
  <c r="F8" i="4"/>
  <c r="E8" i="4"/>
  <c r="H7" i="4"/>
  <c r="G7" i="4"/>
  <c r="F7" i="4"/>
  <c r="E7" i="4"/>
  <c r="H6" i="4"/>
  <c r="G6" i="4"/>
  <c r="F6" i="4"/>
  <c r="E6" i="4"/>
  <c r="H5" i="4"/>
  <c r="G5" i="4"/>
  <c r="F5" i="4"/>
  <c r="E5" i="4"/>
  <c r="J4" i="4"/>
  <c r="H4" i="4"/>
  <c r="G4" i="4"/>
  <c r="F4" i="4"/>
  <c r="E4" i="4"/>
  <c r="M3" i="4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H3" i="4"/>
  <c r="G3" i="4"/>
  <c r="F3" i="4"/>
  <c r="E3" i="4"/>
  <c r="B99" i="3"/>
  <c r="B95" i="3"/>
  <c r="B92" i="3"/>
  <c r="F742" i="1"/>
  <c r="E742" i="1"/>
  <c r="D742" i="1"/>
  <c r="C742" i="1"/>
  <c r="F741" i="1"/>
  <c r="E741" i="1"/>
  <c r="D741" i="1"/>
  <c r="C741" i="1"/>
  <c r="F740" i="1"/>
  <c r="E740" i="1"/>
  <c r="D740" i="1"/>
  <c r="C740" i="1"/>
  <c r="F739" i="1"/>
  <c r="E739" i="1"/>
  <c r="D739" i="1"/>
  <c r="C739" i="1"/>
  <c r="F738" i="1"/>
  <c r="E738" i="1"/>
  <c r="D738" i="1"/>
  <c r="C738" i="1"/>
  <c r="F737" i="1"/>
  <c r="E737" i="1"/>
  <c r="D737" i="1"/>
  <c r="C737" i="1"/>
  <c r="F736" i="1"/>
  <c r="E736" i="1"/>
  <c r="D736" i="1"/>
  <c r="C736" i="1"/>
  <c r="F735" i="1"/>
  <c r="E735" i="1"/>
  <c r="D735" i="1"/>
  <c r="C735" i="1"/>
  <c r="F734" i="1"/>
  <c r="E734" i="1"/>
  <c r="D734" i="1"/>
  <c r="C734" i="1"/>
  <c r="F733" i="1"/>
  <c r="E733" i="1"/>
  <c r="D733" i="1"/>
  <c r="C733" i="1"/>
  <c r="F732" i="1"/>
  <c r="E732" i="1"/>
  <c r="D732" i="1"/>
  <c r="C732" i="1"/>
  <c r="F731" i="1"/>
  <c r="E731" i="1"/>
  <c r="D731" i="1"/>
  <c r="C731" i="1"/>
  <c r="F730" i="1"/>
  <c r="E730" i="1"/>
  <c r="D730" i="1"/>
  <c r="C730" i="1"/>
  <c r="F729" i="1"/>
  <c r="E729" i="1"/>
  <c r="D729" i="1"/>
  <c r="C729" i="1"/>
  <c r="F728" i="1"/>
  <c r="E728" i="1"/>
  <c r="D728" i="1"/>
  <c r="C728" i="1"/>
  <c r="H727" i="1"/>
  <c r="F727" i="1"/>
  <c r="E727" i="1"/>
  <c r="D727" i="1"/>
  <c r="C727" i="1"/>
  <c r="F726" i="1"/>
  <c r="C726" i="1"/>
  <c r="F725" i="1"/>
  <c r="E725" i="1"/>
  <c r="D725" i="1"/>
  <c r="C725" i="1"/>
  <c r="F724" i="1"/>
  <c r="E724" i="1"/>
  <c r="D724" i="1"/>
  <c r="C724" i="1"/>
  <c r="F723" i="1"/>
  <c r="C723" i="1"/>
  <c r="F722" i="1"/>
  <c r="E722" i="1"/>
  <c r="D722" i="1"/>
  <c r="C722" i="1"/>
  <c r="F721" i="1"/>
  <c r="E721" i="1"/>
  <c r="D721" i="1"/>
  <c r="C721" i="1"/>
  <c r="F720" i="1"/>
  <c r="E720" i="1"/>
  <c r="D720" i="1"/>
  <c r="C720" i="1"/>
  <c r="F719" i="1"/>
  <c r="E719" i="1"/>
  <c r="D719" i="1"/>
  <c r="C719" i="1"/>
  <c r="F718" i="1"/>
  <c r="E718" i="1"/>
  <c r="D718" i="1"/>
  <c r="C718" i="1"/>
  <c r="F717" i="1"/>
  <c r="E717" i="1"/>
  <c r="D717" i="1"/>
  <c r="C717" i="1"/>
  <c r="F716" i="1"/>
  <c r="E716" i="1"/>
  <c r="D716" i="1"/>
  <c r="C716" i="1"/>
  <c r="C715" i="1"/>
  <c r="F714" i="1"/>
  <c r="E714" i="1"/>
  <c r="D714" i="1"/>
  <c r="C714" i="1"/>
  <c r="F713" i="1"/>
  <c r="E713" i="1"/>
  <c r="D713" i="1"/>
  <c r="C713" i="1"/>
  <c r="F712" i="1"/>
  <c r="E712" i="1"/>
  <c r="D712" i="1"/>
  <c r="C712" i="1"/>
  <c r="F711" i="1"/>
  <c r="E711" i="1"/>
  <c r="D711" i="1"/>
  <c r="C711" i="1"/>
  <c r="F710" i="1"/>
  <c r="E710" i="1"/>
  <c r="D710" i="1"/>
  <c r="C710" i="1"/>
  <c r="F709" i="1"/>
  <c r="E709" i="1"/>
  <c r="D709" i="1"/>
  <c r="C709" i="1"/>
  <c r="F708" i="1"/>
  <c r="E708" i="1"/>
  <c r="D708" i="1"/>
  <c r="C708" i="1"/>
  <c r="F707" i="1"/>
  <c r="E707" i="1"/>
  <c r="D707" i="1"/>
  <c r="C707" i="1"/>
  <c r="F706" i="1"/>
  <c r="E706" i="1"/>
  <c r="D706" i="1"/>
  <c r="C706" i="1"/>
  <c r="F705" i="1"/>
  <c r="E705" i="1"/>
  <c r="D705" i="1"/>
  <c r="C705" i="1"/>
  <c r="F704" i="1"/>
  <c r="E704" i="1"/>
  <c r="D704" i="1"/>
  <c r="C704" i="1"/>
  <c r="F703" i="1"/>
  <c r="E703" i="1"/>
  <c r="D703" i="1"/>
  <c r="C703" i="1"/>
  <c r="F702" i="1"/>
  <c r="E702" i="1"/>
  <c r="D702" i="1"/>
  <c r="C702" i="1"/>
  <c r="F701" i="1"/>
  <c r="E701" i="1"/>
  <c r="D701" i="1"/>
  <c r="C701" i="1"/>
  <c r="F700" i="1"/>
  <c r="E700" i="1"/>
  <c r="D700" i="1"/>
  <c r="C700" i="1"/>
  <c r="F699" i="1"/>
  <c r="E699" i="1"/>
  <c r="D699" i="1"/>
  <c r="C699" i="1"/>
  <c r="F698" i="1"/>
  <c r="E698" i="1"/>
  <c r="D698" i="1"/>
  <c r="C698" i="1"/>
  <c r="F697" i="1"/>
  <c r="E697" i="1"/>
  <c r="D697" i="1"/>
  <c r="C697" i="1"/>
  <c r="F696" i="1"/>
  <c r="E696" i="1"/>
  <c r="D696" i="1"/>
  <c r="C696" i="1"/>
  <c r="F695" i="1"/>
  <c r="E695" i="1"/>
  <c r="D695" i="1"/>
  <c r="C695" i="1"/>
  <c r="E694" i="1"/>
  <c r="C694" i="1"/>
  <c r="F693" i="1"/>
  <c r="E693" i="1"/>
  <c r="D693" i="1"/>
  <c r="C693" i="1"/>
  <c r="F692" i="1"/>
  <c r="E692" i="1"/>
  <c r="D692" i="1"/>
  <c r="C692" i="1"/>
  <c r="F691" i="1"/>
  <c r="C691" i="1"/>
  <c r="F690" i="1"/>
  <c r="C690" i="1"/>
  <c r="F689" i="1"/>
  <c r="C689" i="1"/>
  <c r="F688" i="1"/>
  <c r="E688" i="1"/>
  <c r="D688" i="1"/>
  <c r="C688" i="1"/>
  <c r="F687" i="1"/>
  <c r="E687" i="1"/>
  <c r="D687" i="1"/>
  <c r="C687" i="1"/>
  <c r="F686" i="1"/>
  <c r="E686" i="1"/>
  <c r="D686" i="1"/>
  <c r="C686" i="1"/>
  <c r="F685" i="1"/>
  <c r="E685" i="1"/>
  <c r="D685" i="1"/>
  <c r="C685" i="1"/>
  <c r="F684" i="1"/>
  <c r="E684" i="1"/>
  <c r="D684" i="1"/>
  <c r="C684" i="1"/>
  <c r="F683" i="1"/>
  <c r="C683" i="1"/>
  <c r="F682" i="1"/>
  <c r="E682" i="1"/>
  <c r="D682" i="1"/>
  <c r="C682" i="1"/>
  <c r="F681" i="1"/>
  <c r="E681" i="1"/>
  <c r="D681" i="1"/>
  <c r="C681" i="1"/>
  <c r="F680" i="1"/>
  <c r="C680" i="1"/>
  <c r="F679" i="1"/>
  <c r="E679" i="1"/>
  <c r="D679" i="1"/>
  <c r="C679" i="1"/>
  <c r="F678" i="1"/>
  <c r="E678" i="1"/>
  <c r="C678" i="1"/>
  <c r="F677" i="1"/>
  <c r="E677" i="1"/>
  <c r="D677" i="1"/>
  <c r="C677" i="1"/>
  <c r="F676" i="1"/>
  <c r="E676" i="1"/>
  <c r="D676" i="1"/>
  <c r="C676" i="1"/>
  <c r="F675" i="1"/>
  <c r="E675" i="1"/>
  <c r="D675" i="1"/>
  <c r="C675" i="1"/>
  <c r="F674" i="1"/>
  <c r="E674" i="1"/>
  <c r="D674" i="1"/>
  <c r="C674" i="1"/>
  <c r="F673" i="1"/>
  <c r="C673" i="1"/>
  <c r="F672" i="1"/>
  <c r="E672" i="1"/>
  <c r="D672" i="1"/>
  <c r="C672" i="1"/>
  <c r="F671" i="1"/>
  <c r="E671" i="1"/>
  <c r="D671" i="1"/>
  <c r="C671" i="1"/>
  <c r="F670" i="1"/>
  <c r="E670" i="1"/>
  <c r="D670" i="1"/>
  <c r="C670" i="1"/>
  <c r="F669" i="1"/>
  <c r="E669" i="1"/>
  <c r="D669" i="1"/>
  <c r="C669" i="1"/>
  <c r="F668" i="1"/>
  <c r="E668" i="1"/>
  <c r="D668" i="1"/>
  <c r="C668" i="1"/>
  <c r="F667" i="1"/>
  <c r="E667" i="1"/>
  <c r="D667" i="1"/>
  <c r="C667" i="1"/>
  <c r="F666" i="1"/>
  <c r="E666" i="1"/>
  <c r="D666" i="1"/>
  <c r="C666" i="1"/>
  <c r="F665" i="1"/>
  <c r="E665" i="1"/>
  <c r="D665" i="1"/>
  <c r="C665" i="1"/>
  <c r="F664" i="1"/>
  <c r="E664" i="1"/>
  <c r="D664" i="1"/>
  <c r="C664" i="1"/>
  <c r="F663" i="1"/>
  <c r="E663" i="1"/>
  <c r="D663" i="1"/>
  <c r="C663" i="1"/>
  <c r="F662" i="1"/>
  <c r="E662" i="1"/>
  <c r="D662" i="1"/>
  <c r="C662" i="1"/>
  <c r="F661" i="1"/>
  <c r="E661" i="1"/>
  <c r="D661" i="1"/>
  <c r="C661" i="1"/>
  <c r="F660" i="1"/>
  <c r="E660" i="1"/>
  <c r="D660" i="1"/>
  <c r="C660" i="1"/>
  <c r="F659" i="1"/>
  <c r="E659" i="1"/>
  <c r="D659" i="1"/>
  <c r="C659" i="1"/>
  <c r="F658" i="1"/>
  <c r="E658" i="1"/>
  <c r="D658" i="1"/>
  <c r="C658" i="1"/>
  <c r="F657" i="1"/>
  <c r="E657" i="1"/>
  <c r="D657" i="1"/>
  <c r="C657" i="1"/>
  <c r="F656" i="1"/>
  <c r="E656" i="1"/>
  <c r="D656" i="1"/>
  <c r="C656" i="1"/>
  <c r="F655" i="1"/>
  <c r="E655" i="1"/>
  <c r="D655" i="1"/>
  <c r="C655" i="1"/>
  <c r="F654" i="1"/>
  <c r="E654" i="1"/>
  <c r="D654" i="1"/>
  <c r="C654" i="1"/>
  <c r="F653" i="1"/>
  <c r="E653" i="1"/>
  <c r="D653" i="1"/>
  <c r="C653" i="1"/>
  <c r="F652" i="1"/>
  <c r="E652" i="1"/>
  <c r="D652" i="1"/>
  <c r="C652" i="1"/>
  <c r="F651" i="1"/>
  <c r="E651" i="1"/>
  <c r="D651" i="1"/>
  <c r="C651" i="1"/>
  <c r="F650" i="1"/>
  <c r="C650" i="1"/>
  <c r="F649" i="1"/>
  <c r="E649" i="1"/>
  <c r="D649" i="1"/>
  <c r="C649" i="1"/>
  <c r="F648" i="1"/>
  <c r="E648" i="1"/>
  <c r="D648" i="1"/>
  <c r="C648" i="1"/>
  <c r="F647" i="1"/>
  <c r="E647" i="1"/>
  <c r="D647" i="1"/>
  <c r="C647" i="1"/>
  <c r="F646" i="1"/>
  <c r="E646" i="1"/>
  <c r="D646" i="1"/>
  <c r="C646" i="1"/>
  <c r="F645" i="1"/>
  <c r="E645" i="1"/>
  <c r="D645" i="1"/>
  <c r="C645" i="1"/>
  <c r="F644" i="1"/>
  <c r="E644" i="1"/>
  <c r="D644" i="1"/>
  <c r="C644" i="1"/>
  <c r="F643" i="1"/>
  <c r="E643" i="1"/>
  <c r="D643" i="1"/>
  <c r="C643" i="1"/>
  <c r="F642" i="1"/>
  <c r="D642" i="1"/>
  <c r="C642" i="1"/>
  <c r="F641" i="1"/>
  <c r="E641" i="1"/>
  <c r="D641" i="1"/>
  <c r="C641" i="1"/>
  <c r="C640" i="1"/>
  <c r="F639" i="1"/>
  <c r="E639" i="1"/>
  <c r="D639" i="1"/>
  <c r="C639" i="1"/>
  <c r="F638" i="1"/>
  <c r="E638" i="1"/>
  <c r="D638" i="1"/>
  <c r="C638" i="1"/>
  <c r="F637" i="1"/>
  <c r="E637" i="1"/>
  <c r="D637" i="1"/>
  <c r="C637" i="1"/>
  <c r="F636" i="1"/>
  <c r="E636" i="1"/>
  <c r="D636" i="1"/>
  <c r="C636" i="1"/>
  <c r="F635" i="1"/>
  <c r="E635" i="1"/>
  <c r="D635" i="1"/>
  <c r="C635" i="1"/>
  <c r="C634" i="1"/>
  <c r="C633" i="1"/>
  <c r="C632" i="1"/>
  <c r="F631" i="1"/>
  <c r="E631" i="1"/>
  <c r="D631" i="1"/>
  <c r="C631" i="1"/>
  <c r="F630" i="1"/>
  <c r="E630" i="1"/>
  <c r="D630" i="1"/>
  <c r="C630" i="1"/>
  <c r="F629" i="1"/>
  <c r="E629" i="1"/>
  <c r="D629" i="1"/>
  <c r="C629" i="1"/>
  <c r="F628" i="1"/>
  <c r="E628" i="1"/>
  <c r="D628" i="1"/>
  <c r="C628" i="1"/>
  <c r="F627" i="1"/>
  <c r="E627" i="1"/>
  <c r="D627" i="1"/>
  <c r="C627" i="1"/>
  <c r="E626" i="1"/>
  <c r="C626" i="1"/>
  <c r="F625" i="1"/>
  <c r="C625" i="1"/>
  <c r="F624" i="1"/>
  <c r="E624" i="1"/>
  <c r="D624" i="1"/>
  <c r="C624" i="1"/>
  <c r="F623" i="1"/>
  <c r="E623" i="1"/>
  <c r="D623" i="1"/>
  <c r="C623" i="1"/>
  <c r="F622" i="1"/>
  <c r="E622" i="1"/>
  <c r="D622" i="1"/>
  <c r="C622" i="1"/>
  <c r="F621" i="1"/>
  <c r="E621" i="1"/>
  <c r="D621" i="1"/>
  <c r="C621" i="1"/>
  <c r="F620" i="1"/>
  <c r="E620" i="1"/>
  <c r="D620" i="1"/>
  <c r="C620" i="1"/>
  <c r="F619" i="1"/>
  <c r="E619" i="1"/>
  <c r="D619" i="1"/>
  <c r="C619" i="1"/>
  <c r="F618" i="1"/>
  <c r="E618" i="1"/>
  <c r="D618" i="1"/>
  <c r="C618" i="1"/>
  <c r="F617" i="1"/>
  <c r="C617" i="1"/>
  <c r="F616" i="1"/>
  <c r="E616" i="1"/>
  <c r="D616" i="1"/>
  <c r="C616" i="1"/>
  <c r="F615" i="1"/>
  <c r="C615" i="1"/>
  <c r="F614" i="1"/>
  <c r="C614" i="1"/>
  <c r="F613" i="1"/>
  <c r="C613" i="1"/>
  <c r="F612" i="1"/>
  <c r="C612" i="1"/>
  <c r="F611" i="1"/>
  <c r="E611" i="1"/>
  <c r="D611" i="1"/>
  <c r="C611" i="1"/>
  <c r="F610" i="1"/>
  <c r="E610" i="1"/>
  <c r="D610" i="1"/>
  <c r="C610" i="1"/>
  <c r="F609" i="1"/>
  <c r="E609" i="1"/>
  <c r="D609" i="1"/>
  <c r="C609" i="1"/>
  <c r="F608" i="1"/>
  <c r="E608" i="1"/>
  <c r="D608" i="1"/>
  <c r="C608" i="1"/>
  <c r="F607" i="1"/>
  <c r="E607" i="1"/>
  <c r="D607" i="1"/>
  <c r="C607" i="1"/>
  <c r="F606" i="1"/>
  <c r="E606" i="1"/>
  <c r="D606" i="1"/>
  <c r="C606" i="1"/>
  <c r="F605" i="1"/>
  <c r="E605" i="1"/>
  <c r="D605" i="1"/>
  <c r="C605" i="1"/>
  <c r="F604" i="1"/>
  <c r="E604" i="1"/>
  <c r="D604" i="1"/>
  <c r="C604" i="1"/>
  <c r="F603" i="1"/>
  <c r="E603" i="1"/>
  <c r="C603" i="1"/>
  <c r="F602" i="1"/>
  <c r="E602" i="1"/>
  <c r="D602" i="1"/>
  <c r="C602" i="1"/>
  <c r="F601" i="1"/>
  <c r="E601" i="1"/>
  <c r="D601" i="1"/>
  <c r="C601" i="1"/>
  <c r="F600" i="1"/>
  <c r="E600" i="1"/>
  <c r="D600" i="1"/>
  <c r="C600" i="1"/>
  <c r="F599" i="1"/>
  <c r="E599" i="1"/>
  <c r="D599" i="1"/>
  <c r="C599" i="1"/>
  <c r="F598" i="1"/>
  <c r="E598" i="1"/>
  <c r="D598" i="1"/>
  <c r="C598" i="1"/>
  <c r="F597" i="1"/>
  <c r="E597" i="1"/>
  <c r="D597" i="1"/>
  <c r="C597" i="1"/>
  <c r="F596" i="1"/>
  <c r="C596" i="1"/>
  <c r="F595" i="1"/>
  <c r="C595" i="1"/>
  <c r="F594" i="1"/>
  <c r="E594" i="1"/>
  <c r="D594" i="1"/>
  <c r="C594" i="1"/>
  <c r="F593" i="1"/>
  <c r="E593" i="1"/>
  <c r="D593" i="1"/>
  <c r="C593" i="1"/>
  <c r="F592" i="1"/>
  <c r="E592" i="1"/>
  <c r="D592" i="1"/>
  <c r="C592" i="1"/>
  <c r="F591" i="1"/>
  <c r="E591" i="1"/>
  <c r="D591" i="1"/>
  <c r="C591" i="1"/>
  <c r="F590" i="1"/>
  <c r="E590" i="1"/>
  <c r="D590" i="1"/>
  <c r="C590" i="1"/>
  <c r="F589" i="1"/>
  <c r="C589" i="1"/>
  <c r="F588" i="1"/>
  <c r="E588" i="1"/>
  <c r="D588" i="1"/>
  <c r="C588" i="1"/>
  <c r="F587" i="1"/>
  <c r="E587" i="1"/>
  <c r="D587" i="1"/>
  <c r="C587" i="1"/>
  <c r="F586" i="1"/>
  <c r="C586" i="1"/>
  <c r="F585" i="1"/>
  <c r="C585" i="1"/>
  <c r="F584" i="1"/>
  <c r="E584" i="1"/>
  <c r="D584" i="1"/>
  <c r="C584" i="1"/>
  <c r="F583" i="1"/>
  <c r="C583" i="1"/>
  <c r="F582" i="1"/>
  <c r="C582" i="1"/>
  <c r="F581" i="1"/>
  <c r="E581" i="1"/>
  <c r="C581" i="1"/>
  <c r="F580" i="1"/>
  <c r="E580" i="1"/>
  <c r="D580" i="1"/>
  <c r="C580" i="1"/>
  <c r="F579" i="1"/>
  <c r="E579" i="1"/>
  <c r="D579" i="1"/>
  <c r="C579" i="1"/>
  <c r="F578" i="1"/>
  <c r="E578" i="1"/>
  <c r="D578" i="1"/>
  <c r="C578" i="1"/>
  <c r="F577" i="1"/>
  <c r="E577" i="1"/>
  <c r="D577" i="1"/>
  <c r="C577" i="1"/>
  <c r="F576" i="1"/>
  <c r="E576" i="1"/>
  <c r="D576" i="1"/>
  <c r="C576" i="1"/>
  <c r="F575" i="1"/>
  <c r="E575" i="1"/>
  <c r="D575" i="1"/>
  <c r="C575" i="1"/>
  <c r="F574" i="1"/>
  <c r="C574" i="1"/>
  <c r="F573" i="1"/>
  <c r="E573" i="1"/>
  <c r="C573" i="1"/>
  <c r="F572" i="1"/>
  <c r="E572" i="1"/>
  <c r="D572" i="1"/>
  <c r="C572" i="1"/>
  <c r="F571" i="1"/>
  <c r="E571" i="1"/>
  <c r="D571" i="1"/>
  <c r="C571" i="1"/>
  <c r="F570" i="1"/>
  <c r="E570" i="1"/>
  <c r="D570" i="1"/>
  <c r="C570" i="1"/>
  <c r="F569" i="1"/>
  <c r="E569" i="1"/>
  <c r="D569" i="1"/>
  <c r="C569" i="1"/>
  <c r="F568" i="1"/>
  <c r="E568" i="1"/>
  <c r="D568" i="1"/>
  <c r="C568" i="1"/>
  <c r="F567" i="1"/>
  <c r="C567" i="1"/>
  <c r="F566" i="1"/>
  <c r="E566" i="1"/>
  <c r="D566" i="1"/>
  <c r="C566" i="1"/>
  <c r="F565" i="1"/>
  <c r="E565" i="1"/>
  <c r="D565" i="1"/>
  <c r="C565" i="1"/>
  <c r="F564" i="1"/>
  <c r="E564" i="1"/>
  <c r="D564" i="1"/>
  <c r="C564" i="1"/>
  <c r="F563" i="1"/>
  <c r="E563" i="1"/>
  <c r="D563" i="1"/>
  <c r="C563" i="1"/>
  <c r="F562" i="1"/>
  <c r="E562" i="1"/>
  <c r="D562" i="1"/>
  <c r="C562" i="1"/>
  <c r="F561" i="1"/>
  <c r="E561" i="1"/>
  <c r="D561" i="1"/>
  <c r="C561" i="1"/>
  <c r="F560" i="1"/>
  <c r="E560" i="1"/>
  <c r="D560" i="1"/>
  <c r="C560" i="1"/>
  <c r="F559" i="1"/>
  <c r="E559" i="1"/>
  <c r="D559" i="1"/>
  <c r="C559" i="1"/>
  <c r="F558" i="1"/>
  <c r="E558" i="1"/>
  <c r="D558" i="1"/>
  <c r="C558" i="1"/>
  <c r="F557" i="1"/>
  <c r="E557" i="1"/>
  <c r="D557" i="1"/>
  <c r="C557" i="1"/>
  <c r="F556" i="1"/>
  <c r="E556" i="1"/>
  <c r="D556" i="1"/>
  <c r="C556" i="1"/>
  <c r="F555" i="1"/>
  <c r="E555" i="1"/>
  <c r="D555" i="1"/>
  <c r="C555" i="1"/>
  <c r="F554" i="1"/>
  <c r="E554" i="1"/>
  <c r="D554" i="1"/>
  <c r="C554" i="1"/>
  <c r="F553" i="1"/>
  <c r="E553" i="1"/>
  <c r="D553" i="1"/>
  <c r="C553" i="1"/>
  <c r="F552" i="1"/>
  <c r="E552" i="1"/>
  <c r="D552" i="1"/>
  <c r="C552" i="1"/>
  <c r="F551" i="1"/>
  <c r="E551" i="1"/>
  <c r="D551" i="1"/>
  <c r="C551" i="1"/>
  <c r="F550" i="1"/>
  <c r="C550" i="1"/>
  <c r="F549" i="1"/>
  <c r="E549" i="1"/>
  <c r="D549" i="1"/>
  <c r="C549" i="1"/>
  <c r="F548" i="1"/>
  <c r="C548" i="1"/>
  <c r="F547" i="1"/>
  <c r="C547" i="1"/>
  <c r="F546" i="1"/>
  <c r="C546" i="1"/>
  <c r="F545" i="1"/>
  <c r="C545" i="1"/>
  <c r="F544" i="1"/>
  <c r="E544" i="1"/>
  <c r="D544" i="1"/>
  <c r="C544" i="1"/>
  <c r="F543" i="1"/>
  <c r="C543" i="1"/>
  <c r="F542" i="1"/>
  <c r="C542" i="1"/>
  <c r="F541" i="1"/>
  <c r="E541" i="1"/>
  <c r="D541" i="1"/>
  <c r="C541" i="1"/>
  <c r="F540" i="1"/>
  <c r="E540" i="1"/>
  <c r="D540" i="1"/>
  <c r="C540" i="1"/>
  <c r="F539" i="1"/>
  <c r="E539" i="1"/>
  <c r="D539" i="1"/>
  <c r="C539" i="1"/>
  <c r="F538" i="1"/>
  <c r="E538" i="1"/>
  <c r="C538" i="1"/>
  <c r="F537" i="1"/>
  <c r="E537" i="1"/>
  <c r="D537" i="1"/>
  <c r="C537" i="1"/>
  <c r="F536" i="1"/>
  <c r="E536" i="1"/>
  <c r="D536" i="1"/>
  <c r="C536" i="1"/>
  <c r="F535" i="1"/>
  <c r="E535" i="1"/>
  <c r="C535" i="1"/>
  <c r="F534" i="1"/>
  <c r="E534" i="1"/>
  <c r="D534" i="1"/>
  <c r="C534" i="1"/>
  <c r="F533" i="1"/>
  <c r="E533" i="1"/>
  <c r="D533" i="1"/>
  <c r="C533" i="1"/>
  <c r="F532" i="1"/>
  <c r="E532" i="1"/>
  <c r="D532" i="1"/>
  <c r="C532" i="1"/>
  <c r="F531" i="1"/>
  <c r="E531" i="1"/>
  <c r="D531" i="1"/>
  <c r="C531" i="1"/>
  <c r="F530" i="1"/>
  <c r="E530" i="1"/>
  <c r="D530" i="1"/>
  <c r="C530" i="1"/>
  <c r="F529" i="1"/>
  <c r="E529" i="1"/>
  <c r="D529" i="1"/>
  <c r="C529" i="1"/>
  <c r="F528" i="1"/>
  <c r="E528" i="1"/>
  <c r="D528" i="1"/>
  <c r="C528" i="1"/>
  <c r="F527" i="1"/>
  <c r="E527" i="1"/>
  <c r="D527" i="1"/>
  <c r="C527" i="1"/>
  <c r="F526" i="1"/>
  <c r="E526" i="1"/>
  <c r="D526" i="1"/>
  <c r="C526" i="1"/>
  <c r="F525" i="1"/>
  <c r="E525" i="1"/>
  <c r="D525" i="1"/>
  <c r="C525" i="1"/>
  <c r="F524" i="1"/>
  <c r="E524" i="1"/>
  <c r="D524" i="1"/>
  <c r="C524" i="1"/>
  <c r="F523" i="1"/>
  <c r="E523" i="1"/>
  <c r="D523" i="1"/>
  <c r="C523" i="1"/>
  <c r="F522" i="1"/>
  <c r="E522" i="1"/>
  <c r="D522" i="1"/>
  <c r="C522" i="1"/>
  <c r="F521" i="1"/>
  <c r="C521" i="1"/>
  <c r="F520" i="1"/>
  <c r="E520" i="1"/>
  <c r="D520" i="1"/>
  <c r="C520" i="1"/>
  <c r="F519" i="1"/>
  <c r="E519" i="1"/>
  <c r="D519" i="1"/>
  <c r="C519" i="1"/>
  <c r="F518" i="1"/>
  <c r="E518" i="1"/>
  <c r="D518" i="1"/>
  <c r="C518" i="1"/>
  <c r="F517" i="1"/>
  <c r="E517" i="1"/>
  <c r="D517" i="1"/>
  <c r="C517" i="1"/>
  <c r="F516" i="1"/>
  <c r="E516" i="1"/>
  <c r="D516" i="1"/>
  <c r="C516" i="1"/>
  <c r="F515" i="1"/>
  <c r="E515" i="1"/>
  <c r="D515" i="1"/>
  <c r="C515" i="1"/>
  <c r="F514" i="1"/>
  <c r="E514" i="1"/>
  <c r="D514" i="1"/>
  <c r="C514" i="1"/>
  <c r="F513" i="1"/>
  <c r="E513" i="1"/>
  <c r="D513" i="1"/>
  <c r="C513" i="1"/>
  <c r="F512" i="1"/>
  <c r="E512" i="1"/>
  <c r="D512" i="1"/>
  <c r="C512" i="1"/>
  <c r="F511" i="1"/>
  <c r="E511" i="1"/>
  <c r="D511" i="1"/>
  <c r="C511" i="1"/>
  <c r="F510" i="1"/>
  <c r="E510" i="1"/>
  <c r="D510" i="1"/>
  <c r="C510" i="1"/>
  <c r="F509" i="1"/>
  <c r="E509" i="1"/>
  <c r="D509" i="1"/>
  <c r="C509" i="1"/>
  <c r="F508" i="1"/>
  <c r="E508" i="1"/>
  <c r="D508" i="1"/>
  <c r="C508" i="1"/>
  <c r="F507" i="1"/>
  <c r="C507" i="1"/>
  <c r="F506" i="1"/>
  <c r="C506" i="1"/>
  <c r="F505" i="1"/>
  <c r="C505" i="1"/>
  <c r="F504" i="1"/>
  <c r="C504" i="1"/>
  <c r="F503" i="1"/>
  <c r="E503" i="1"/>
  <c r="D503" i="1"/>
  <c r="C503" i="1"/>
  <c r="F502" i="1"/>
  <c r="E502" i="1"/>
  <c r="D502" i="1"/>
  <c r="C502" i="1"/>
  <c r="F501" i="1"/>
  <c r="E501" i="1"/>
  <c r="D501" i="1"/>
  <c r="C501" i="1"/>
  <c r="F500" i="1"/>
  <c r="E500" i="1"/>
  <c r="D500" i="1"/>
  <c r="C500" i="1"/>
  <c r="F499" i="1"/>
  <c r="E499" i="1"/>
  <c r="D499" i="1"/>
  <c r="C499" i="1"/>
  <c r="F498" i="1"/>
  <c r="E498" i="1"/>
  <c r="D498" i="1"/>
  <c r="C498" i="1"/>
  <c r="F497" i="1"/>
  <c r="E497" i="1"/>
  <c r="D497" i="1"/>
  <c r="C497" i="1"/>
  <c r="F496" i="1"/>
  <c r="E496" i="1"/>
  <c r="D496" i="1"/>
  <c r="C496" i="1"/>
  <c r="F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C491" i="1"/>
  <c r="F490" i="1"/>
  <c r="C490" i="1"/>
  <c r="F489" i="1"/>
  <c r="E489" i="1"/>
  <c r="D489" i="1"/>
  <c r="C489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C483" i="1"/>
  <c r="F482" i="1"/>
  <c r="E482" i="1"/>
  <c r="D482" i="1"/>
  <c r="C482" i="1"/>
  <c r="F481" i="1"/>
  <c r="E481" i="1"/>
  <c r="D481" i="1"/>
  <c r="C481" i="1"/>
  <c r="F480" i="1"/>
  <c r="C480" i="1"/>
  <c r="F479" i="1"/>
  <c r="E479" i="1"/>
  <c r="C479" i="1"/>
  <c r="F478" i="1"/>
  <c r="E478" i="1"/>
  <c r="D478" i="1"/>
  <c r="C478" i="1"/>
  <c r="F477" i="1"/>
  <c r="E477" i="1"/>
  <c r="D477" i="1"/>
  <c r="C477" i="1"/>
  <c r="F476" i="1"/>
  <c r="E476" i="1"/>
  <c r="D476" i="1"/>
  <c r="C476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C466" i="1"/>
  <c r="F465" i="1"/>
  <c r="E465" i="1"/>
  <c r="D465" i="1"/>
  <c r="C465" i="1"/>
  <c r="F464" i="1"/>
  <c r="E464" i="1"/>
  <c r="D464" i="1"/>
  <c r="C464" i="1"/>
  <c r="F463" i="1"/>
  <c r="C463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2" i="1"/>
  <c r="E452" i="1"/>
  <c r="D452" i="1"/>
  <c r="C452" i="1"/>
  <c r="F451" i="1"/>
  <c r="E451" i="1"/>
  <c r="D451" i="1"/>
  <c r="C451" i="1"/>
  <c r="F450" i="1"/>
  <c r="E450" i="1"/>
  <c r="D450" i="1"/>
  <c r="C450" i="1"/>
  <c r="F449" i="1"/>
  <c r="E449" i="1"/>
  <c r="D449" i="1"/>
  <c r="C449" i="1"/>
  <c r="F448" i="1"/>
  <c r="C448" i="1"/>
  <c r="F447" i="1"/>
  <c r="C447" i="1"/>
  <c r="F446" i="1"/>
  <c r="C446" i="1"/>
  <c r="F445" i="1"/>
  <c r="C445" i="1"/>
  <c r="F444" i="1"/>
  <c r="E444" i="1"/>
  <c r="D444" i="1"/>
  <c r="C444" i="1"/>
  <c r="F443" i="1"/>
  <c r="E443" i="1"/>
  <c r="D443" i="1"/>
  <c r="C443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C437" i="1"/>
  <c r="F436" i="1"/>
  <c r="C436" i="1"/>
  <c r="F435" i="1"/>
  <c r="C435" i="1"/>
  <c r="F434" i="1"/>
  <c r="C434" i="1"/>
  <c r="F433" i="1"/>
  <c r="C433" i="1"/>
  <c r="F432" i="1"/>
  <c r="E432" i="1"/>
  <c r="D432" i="1"/>
  <c r="C432" i="1"/>
  <c r="F431" i="1"/>
  <c r="E431" i="1"/>
  <c r="D431" i="1"/>
  <c r="C431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C427" i="1"/>
  <c r="F426" i="1"/>
  <c r="E426" i="1"/>
  <c r="D426" i="1"/>
  <c r="C426" i="1"/>
  <c r="F425" i="1"/>
  <c r="C425" i="1"/>
  <c r="F424" i="1"/>
  <c r="E424" i="1"/>
  <c r="D424" i="1"/>
  <c r="C424" i="1"/>
  <c r="F423" i="1"/>
  <c r="E423" i="1"/>
  <c r="C423" i="1"/>
  <c r="F422" i="1"/>
  <c r="E422" i="1"/>
  <c r="C422" i="1"/>
  <c r="F421" i="1"/>
  <c r="E421" i="1"/>
  <c r="D421" i="1"/>
  <c r="C421" i="1"/>
  <c r="F420" i="1"/>
  <c r="C420" i="1"/>
  <c r="F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4" i="1"/>
  <c r="C414" i="1"/>
  <c r="F413" i="1"/>
  <c r="C413" i="1"/>
  <c r="F412" i="1"/>
  <c r="C412" i="1"/>
  <c r="F411" i="1"/>
  <c r="E411" i="1"/>
  <c r="D411" i="1"/>
  <c r="C411" i="1"/>
  <c r="F410" i="1"/>
  <c r="E410" i="1"/>
  <c r="D410" i="1"/>
  <c r="C410" i="1"/>
  <c r="F409" i="1"/>
  <c r="C409" i="1"/>
  <c r="F408" i="1"/>
  <c r="C408" i="1"/>
  <c r="F407" i="1"/>
  <c r="E407" i="1"/>
  <c r="D407" i="1"/>
  <c r="C407" i="1"/>
  <c r="F406" i="1"/>
  <c r="C406" i="1"/>
  <c r="F405" i="1"/>
  <c r="E405" i="1"/>
  <c r="D405" i="1"/>
  <c r="C405" i="1"/>
  <c r="F404" i="1"/>
  <c r="E404" i="1"/>
  <c r="D404" i="1"/>
  <c r="C404" i="1"/>
  <c r="F403" i="1"/>
  <c r="E403" i="1"/>
  <c r="D403" i="1"/>
  <c r="C403" i="1"/>
  <c r="F402" i="1"/>
  <c r="E402" i="1"/>
  <c r="D402" i="1"/>
  <c r="C402" i="1"/>
  <c r="F401" i="1"/>
  <c r="E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C396" i="1"/>
  <c r="F395" i="1"/>
  <c r="E395" i="1"/>
  <c r="D395" i="1"/>
  <c r="C395" i="1"/>
  <c r="F394" i="1"/>
  <c r="E394" i="1"/>
  <c r="D394" i="1"/>
  <c r="C394" i="1"/>
  <c r="F393" i="1"/>
  <c r="E393" i="1"/>
  <c r="D393" i="1"/>
  <c r="C393" i="1"/>
  <c r="F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C386" i="1"/>
  <c r="F385" i="1"/>
  <c r="C385" i="1"/>
  <c r="F384" i="1"/>
  <c r="E384" i="1"/>
  <c r="D384" i="1"/>
  <c r="C384" i="1"/>
  <c r="F383" i="1"/>
  <c r="E383" i="1"/>
  <c r="D383" i="1"/>
  <c r="C383" i="1"/>
  <c r="F382" i="1"/>
  <c r="E382" i="1"/>
  <c r="D382" i="1"/>
  <c r="C382" i="1"/>
  <c r="F381" i="1"/>
  <c r="E381" i="1"/>
  <c r="D381" i="1"/>
  <c r="C381" i="1"/>
  <c r="F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70" i="1"/>
  <c r="E370" i="1"/>
  <c r="D370" i="1"/>
  <c r="C370" i="1"/>
  <c r="F369" i="1"/>
  <c r="C369" i="1"/>
  <c r="F368" i="1"/>
  <c r="C368" i="1"/>
  <c r="F367" i="1"/>
  <c r="E367" i="1"/>
  <c r="D367" i="1"/>
  <c r="C367" i="1"/>
  <c r="F366" i="1"/>
  <c r="C366" i="1"/>
  <c r="F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C359" i="1"/>
  <c r="F358" i="1"/>
  <c r="C358" i="1"/>
  <c r="F357" i="1"/>
  <c r="C357" i="1"/>
  <c r="F356" i="1"/>
  <c r="C356" i="1"/>
  <c r="F355" i="1"/>
  <c r="C355" i="1"/>
  <c r="F354" i="1"/>
  <c r="C354" i="1"/>
  <c r="F353" i="1"/>
  <c r="C353" i="1"/>
  <c r="F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F344" i="1"/>
  <c r="E344" i="1"/>
  <c r="D344" i="1"/>
  <c r="C344" i="1"/>
  <c r="F343" i="1"/>
  <c r="E343" i="1"/>
  <c r="D343" i="1"/>
  <c r="C343" i="1"/>
  <c r="F342" i="1"/>
  <c r="C342" i="1"/>
  <c r="F341" i="1"/>
  <c r="E341" i="1"/>
  <c r="D341" i="1"/>
  <c r="C341" i="1"/>
  <c r="F340" i="1"/>
  <c r="E340" i="1"/>
  <c r="D340" i="1"/>
  <c r="C340" i="1"/>
  <c r="F339" i="1"/>
  <c r="E339" i="1"/>
  <c r="D339" i="1"/>
  <c r="C339" i="1"/>
  <c r="F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C331" i="1"/>
  <c r="F330" i="1"/>
  <c r="E330" i="1"/>
  <c r="D330" i="1"/>
  <c r="C330" i="1"/>
  <c r="F329" i="1"/>
  <c r="E329" i="1"/>
  <c r="D329" i="1"/>
  <c r="C329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H325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2" i="1"/>
  <c r="C322" i="1"/>
  <c r="F321" i="1"/>
  <c r="C321" i="1"/>
  <c r="F320" i="1"/>
  <c r="E320" i="1"/>
  <c r="D320" i="1"/>
  <c r="C320" i="1"/>
  <c r="F319" i="1"/>
  <c r="E319" i="1"/>
  <c r="D319" i="1"/>
  <c r="C319" i="1"/>
  <c r="F318" i="1"/>
  <c r="C318" i="1"/>
  <c r="F317" i="1"/>
  <c r="C317" i="1"/>
  <c r="F316" i="1"/>
  <c r="C316" i="1"/>
  <c r="F315" i="1"/>
  <c r="C315" i="1"/>
  <c r="F314" i="1"/>
  <c r="E314" i="1"/>
  <c r="D314" i="1"/>
  <c r="C314" i="1"/>
  <c r="F313" i="1"/>
  <c r="E313" i="1"/>
  <c r="D313" i="1"/>
  <c r="C313" i="1"/>
  <c r="F312" i="1"/>
  <c r="E312" i="1"/>
  <c r="D312" i="1"/>
  <c r="C312" i="1"/>
  <c r="F311" i="1"/>
  <c r="C311" i="1"/>
  <c r="F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C304" i="1"/>
  <c r="F303" i="1"/>
  <c r="C303" i="1"/>
  <c r="F302" i="1"/>
  <c r="E302" i="1"/>
  <c r="D302" i="1"/>
  <c r="C302" i="1"/>
  <c r="F301" i="1"/>
  <c r="C301" i="1"/>
  <c r="H300" i="1"/>
  <c r="F300" i="1"/>
  <c r="E300" i="1"/>
  <c r="D300" i="1"/>
  <c r="C300" i="1"/>
  <c r="H299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C291" i="1"/>
  <c r="F290" i="1"/>
  <c r="C290" i="1"/>
  <c r="F289" i="1"/>
  <c r="C289" i="1"/>
  <c r="F288" i="1"/>
  <c r="C288" i="1"/>
  <c r="F287" i="1"/>
  <c r="C287" i="1"/>
  <c r="F286" i="1"/>
  <c r="C286" i="1"/>
  <c r="F285" i="1"/>
  <c r="C285" i="1"/>
  <c r="H284" i="1"/>
  <c r="F284" i="1"/>
  <c r="E284" i="1"/>
  <c r="D284" i="1"/>
  <c r="C284" i="1"/>
  <c r="H283" i="1"/>
  <c r="F283" i="1"/>
  <c r="E283" i="1"/>
  <c r="D283" i="1"/>
  <c r="C283" i="1"/>
  <c r="F282" i="1"/>
  <c r="E282" i="1"/>
  <c r="D282" i="1"/>
  <c r="C282" i="1"/>
  <c r="F281" i="1"/>
  <c r="C281" i="1"/>
  <c r="F280" i="1"/>
  <c r="C280" i="1"/>
  <c r="H279" i="1"/>
  <c r="F279" i="1"/>
  <c r="E279" i="1"/>
  <c r="D279" i="1"/>
  <c r="C279" i="1"/>
  <c r="H278" i="1"/>
  <c r="F278" i="1"/>
  <c r="E278" i="1"/>
  <c r="D278" i="1"/>
  <c r="C278" i="1"/>
  <c r="F277" i="1"/>
  <c r="E277" i="1"/>
  <c r="D277" i="1"/>
  <c r="C277" i="1"/>
  <c r="F276" i="1"/>
  <c r="C276" i="1"/>
  <c r="F275" i="1"/>
  <c r="E275" i="1"/>
  <c r="C275" i="1"/>
  <c r="F274" i="1"/>
  <c r="E274" i="1"/>
  <c r="D274" i="1"/>
  <c r="C274" i="1"/>
  <c r="F273" i="1"/>
  <c r="E273" i="1"/>
  <c r="C273" i="1"/>
  <c r="F272" i="1"/>
  <c r="E272" i="1"/>
  <c r="D272" i="1"/>
  <c r="C272" i="1"/>
  <c r="F271" i="1"/>
  <c r="E271" i="1"/>
  <c r="D271" i="1"/>
  <c r="C271" i="1"/>
  <c r="F270" i="1"/>
  <c r="C270" i="1"/>
  <c r="H269" i="1"/>
  <c r="F269" i="1"/>
  <c r="E269" i="1"/>
  <c r="D269" i="1"/>
  <c r="C269" i="1"/>
  <c r="H268" i="1"/>
  <c r="F268" i="1"/>
  <c r="E268" i="1"/>
  <c r="D268" i="1"/>
  <c r="C268" i="1"/>
  <c r="F267" i="1"/>
  <c r="E267" i="1"/>
  <c r="D267" i="1"/>
  <c r="C267" i="1"/>
  <c r="H266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H260" i="1"/>
  <c r="F260" i="1"/>
  <c r="E260" i="1"/>
  <c r="D260" i="1"/>
  <c r="C260" i="1"/>
  <c r="H259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C256" i="1"/>
  <c r="F255" i="1"/>
  <c r="C255" i="1"/>
  <c r="F254" i="1"/>
  <c r="C254" i="1"/>
  <c r="F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C242" i="1"/>
  <c r="F241" i="1"/>
  <c r="C241" i="1"/>
  <c r="F240" i="1"/>
  <c r="E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C236" i="1"/>
  <c r="F235" i="1"/>
  <c r="E235" i="1"/>
  <c r="D235" i="1"/>
  <c r="C235" i="1"/>
  <c r="F234" i="1"/>
  <c r="E234" i="1"/>
  <c r="D234" i="1"/>
  <c r="C234" i="1"/>
  <c r="F233" i="1"/>
  <c r="E233" i="1"/>
  <c r="C233" i="1"/>
  <c r="F232" i="1"/>
  <c r="E232" i="1"/>
  <c r="C232" i="1"/>
  <c r="F231" i="1"/>
  <c r="E231" i="1"/>
  <c r="C231" i="1"/>
  <c r="F230" i="1"/>
  <c r="E230" i="1"/>
  <c r="D230" i="1"/>
  <c r="C230" i="1"/>
  <c r="C229" i="1"/>
  <c r="F228" i="1"/>
  <c r="E228" i="1"/>
  <c r="D228" i="1"/>
  <c r="C228" i="1"/>
  <c r="F227" i="1"/>
  <c r="E227" i="1"/>
  <c r="D227" i="1"/>
  <c r="C227" i="1"/>
  <c r="F226" i="1"/>
  <c r="C226" i="1"/>
  <c r="F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C199" i="1"/>
  <c r="F198" i="1"/>
  <c r="C198" i="1"/>
  <c r="F197" i="1"/>
  <c r="C197" i="1"/>
  <c r="F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C190" i="1"/>
  <c r="F189" i="1"/>
  <c r="E189" i="1"/>
  <c r="C189" i="1"/>
  <c r="F188" i="1"/>
  <c r="E188" i="1"/>
  <c r="D188" i="1"/>
  <c r="C188" i="1"/>
  <c r="F187" i="1"/>
  <c r="E187" i="1"/>
  <c r="D187" i="1"/>
  <c r="C187" i="1"/>
  <c r="F186" i="1"/>
  <c r="C186" i="1"/>
  <c r="F185" i="1"/>
  <c r="C185" i="1"/>
  <c r="F184" i="1"/>
  <c r="C184" i="1"/>
  <c r="F183" i="1"/>
  <c r="E183" i="1"/>
  <c r="D183" i="1"/>
  <c r="C183" i="1"/>
  <c r="F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C176" i="1"/>
  <c r="F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C151" i="1"/>
  <c r="F150" i="1"/>
  <c r="C150" i="1"/>
  <c r="F149" i="1"/>
  <c r="C149" i="1"/>
  <c r="F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C120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C112" i="1"/>
  <c r="F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C98" i="1"/>
  <c r="F97" i="1"/>
  <c r="C97" i="1"/>
  <c r="F96" i="1"/>
  <c r="C96" i="1"/>
  <c r="F95" i="1"/>
  <c r="C95" i="1"/>
  <c r="F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C75" i="1"/>
  <c r="F74" i="1"/>
  <c r="C74" i="1"/>
  <c r="F73" i="1"/>
  <c r="E73" i="1"/>
  <c r="D73" i="1"/>
  <c r="C73" i="1"/>
  <c r="F72" i="1"/>
  <c r="C72" i="1"/>
  <c r="F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C61" i="1"/>
  <c r="F60" i="1"/>
  <c r="E60" i="1"/>
  <c r="C60" i="1"/>
  <c r="F59" i="1"/>
  <c r="C59" i="1"/>
  <c r="F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C34" i="1"/>
  <c r="F33" i="1"/>
  <c r="E33" i="1"/>
  <c r="D33" i="1"/>
  <c r="C33" i="1"/>
  <c r="F32" i="1"/>
  <c r="E32" i="1"/>
  <c r="D32" i="1"/>
  <c r="C32" i="1"/>
  <c r="F31" i="1"/>
  <c r="C31" i="1"/>
  <c r="F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C6" i="1"/>
  <c r="F5" i="1"/>
  <c r="E5" i="1"/>
  <c r="D5" i="1"/>
  <c r="C5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F4" i="1"/>
  <c r="E4" i="1"/>
  <c r="D4" i="1"/>
  <c r="C4" i="1"/>
  <c r="K3" i="1"/>
  <c r="F3" i="1"/>
  <c r="E3" i="1"/>
  <c r="D3" i="1"/>
  <c r="C3" i="1"/>
  <c r="F2" i="1"/>
  <c r="E2" i="1"/>
  <c r="D2" i="1"/>
  <c r="C2" i="1"/>
  <c r="R21" i="3"/>
  <c r="R13" i="3"/>
  <c r="R27" i="3"/>
  <c r="R19" i="3"/>
  <c r="R11" i="3"/>
  <c r="R24" i="3"/>
  <c r="R16" i="3"/>
  <c r="R8" i="3"/>
  <c r="R23" i="3"/>
  <c r="R15" i="3"/>
  <c r="R7" i="3"/>
  <c r="R22" i="3"/>
  <c r="R14" i="3"/>
  <c r="R6" i="3"/>
  <c r="R18" i="3"/>
  <c r="R17" i="3"/>
  <c r="R12" i="3"/>
  <c r="R10" i="3"/>
  <c r="R9" i="3"/>
  <c r="R26" i="3"/>
  <c r="R25" i="3"/>
  <c r="R20" i="3"/>
</calcChain>
</file>

<file path=xl/sharedStrings.xml><?xml version="1.0" encoding="utf-8"?>
<sst xmlns="http://schemas.openxmlformats.org/spreadsheetml/2006/main" count="1880" uniqueCount="684">
  <si>
    <t>Nº</t>
  </si>
  <si>
    <t>DATA</t>
  </si>
  <si>
    <t>RUBRICA</t>
  </si>
  <si>
    <t>FAVORECIDO</t>
  </si>
  <si>
    <t>CNPJ/CPF</t>
  </si>
  <si>
    <t>TIPO DOCUMENTO</t>
  </si>
  <si>
    <t>Nº2</t>
  </si>
  <si>
    <t>DESCRIÇÃO</t>
  </si>
  <si>
    <t>CRÉDITO</t>
  </si>
  <si>
    <t>DÉBITO</t>
  </si>
  <si>
    <t>SALDO</t>
  </si>
  <si>
    <t>PGTO SALÁRIOS 12.2018 - FOLHA UNIFICADA</t>
  </si>
  <si>
    <t>PGTO SALÁRIO 12.2018</t>
  </si>
  <si>
    <t>RESGATE APLICAÇÃO</t>
  </si>
  <si>
    <t>GEHAD ISMAIL HAJAR</t>
  </si>
  <si>
    <t>054.386.809-57</t>
  </si>
  <si>
    <t>HOLERITE</t>
  </si>
  <si>
    <t>PGTO SERVIÇOS CONTÁBEIS 12.2018</t>
  </si>
  <si>
    <t>ALFAPRINT IND. E COM. DE ETIQUETAS E IMPRESSOES EIRELI</t>
  </si>
  <si>
    <t>08.210.884/0001-10</t>
  </si>
  <si>
    <t>PGTO ETIQUETAS PATRIMONIAIS</t>
  </si>
  <si>
    <t>PGTO SERVIÇOS LOCAÇÃO DE IMPRESSORA</t>
  </si>
  <si>
    <t>PGTO FGTS 12.2018</t>
  </si>
  <si>
    <t xml:space="preserve">TRYB INFORMATICA EIRELI </t>
  </si>
  <si>
    <t>04.049.182/0001-46</t>
  </si>
  <si>
    <t>NF-e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</si>
  <si>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</si>
  <si>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</si>
  <si>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</si>
  <si>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</si>
  <si>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</si>
  <si>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</si>
  <si>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</si>
  <si>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</si>
  <si>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</si>
  <si>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</si>
  <si>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</si>
  <si>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</si>
  <si>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</si>
  <si>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</si>
  <si>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</si>
  <si>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</si>
  <si>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</si>
  <si>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</si>
  <si>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</si>
  <si>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</si>
  <si>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</si>
  <si>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</si>
  <si>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</si>
  <si>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</si>
  <si>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</si>
  <si>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</si>
  <si>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</si>
  <si>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</si>
  <si>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</si>
  <si>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</si>
  <si>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</si>
  <si>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</si>
  <si>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</si>
  <si>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</si>
  <si>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</si>
  <si>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</si>
  <si>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NICOLE BARÃO RAFFS</t>
  </si>
  <si>
    <t>PGTO FGTS 01.2019</t>
  </si>
  <si>
    <t>CONTRATO DE GESTÃO CCTG</t>
  </si>
  <si>
    <t>TRANSFERÊNCIA 5% - CONTA DE RESERVA PALCOPARANÁ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</si>
  <si>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</si>
  <si>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</si>
  <si>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</si>
  <si>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</si>
  <si>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</si>
  <si>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</si>
  <si>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</si>
  <si>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</si>
  <si>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</si>
  <si>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</si>
  <si>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NFS-e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</si>
  <si>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</si>
  <si>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</si>
  <si>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</si>
  <si>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</si>
  <si>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</si>
  <si>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</si>
  <si>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</si>
  <si>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</si>
  <si>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</si>
  <si>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</si>
  <si>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</si>
  <si>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</si>
  <si>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</si>
  <si>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</si>
  <si>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</si>
  <si>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</si>
  <si>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</si>
  <si>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</si>
  <si>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</si>
  <si>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</si>
  <si>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</si>
  <si>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</si>
  <si>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</si>
  <si>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</si>
  <si>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</si>
  <si>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</si>
  <si>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</si>
  <si>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</si>
  <si>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</si>
  <si>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</si>
  <si>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</si>
  <si>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</si>
  <si>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</si>
  <si>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</si>
  <si>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</si>
  <si>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</si>
  <si>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</si>
  <si>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</si>
  <si>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</si>
  <si>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</si>
  <si>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</si>
  <si>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</si>
  <si>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</si>
  <si>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020.621.669-66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</si>
  <si>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</si>
  <si>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</si>
  <si>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</si>
  <si>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</si>
  <si>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</si>
  <si>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</si>
  <si>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</si>
  <si>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</si>
  <si>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</si>
  <si>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</si>
  <si>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</si>
  <si>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</si>
  <si>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</si>
  <si>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</si>
  <si>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</si>
  <si>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</si>
  <si>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</si>
  <si>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</si>
  <si>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</si>
  <si>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</si>
  <si>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</si>
  <si>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</si>
  <si>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</si>
  <si>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</si>
  <si>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</si>
  <si>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</si>
  <si>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</si>
  <si>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</si>
  <si>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</si>
  <si>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</si>
  <si>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</si>
  <si>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RPA</t>
  </si>
  <si>
    <t>CONTRATO MÚSICO EXTRA PARA  OSP - HELIO MOREIRA BRANDÃO</t>
  </si>
  <si>
    <t>TARIFA TRANSFERÊNCIA 08/05/2019</t>
  </si>
  <si>
    <t>PGTO COMPRA SUPORTE BTG</t>
  </si>
  <si>
    <t>APLICAÇÃO CDB-DI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</si>
  <si>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</si>
  <si>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</si>
  <si>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</si>
  <si>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</si>
  <si>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</si>
  <si>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</si>
  <si>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</si>
  <si>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</si>
  <si>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</si>
  <si>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</si>
  <si>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</si>
  <si>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</si>
  <si>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</si>
  <si>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</si>
  <si>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</si>
  <si>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</si>
  <si>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</si>
  <si>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</si>
  <si>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</si>
  <si>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</si>
  <si>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</si>
  <si>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</si>
  <si>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</si>
  <si>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</si>
  <si>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</si>
  <si>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</si>
  <si>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</si>
  <si>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</si>
  <si>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</si>
  <si>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</si>
  <si>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</si>
  <si>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</si>
  <si>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</si>
  <si>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</si>
  <si>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</si>
  <si>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</si>
  <si>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</si>
  <si>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</si>
  <si>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</si>
  <si>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</si>
  <si>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</si>
  <si>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</si>
  <si>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</si>
  <si>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</si>
  <si>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</si>
  <si>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</si>
  <si>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</si>
  <si>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</si>
  <si>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</si>
  <si>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</si>
  <si>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</si>
  <si>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</si>
  <si>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</si>
  <si>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</si>
  <si>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</si>
  <si>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</si>
  <si>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</si>
  <si>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</si>
  <si>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</si>
  <si>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</si>
  <si>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</si>
  <si>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</si>
  <si>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</si>
  <si>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</si>
  <si>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</si>
  <si>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</si>
  <si>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</si>
  <si>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</si>
  <si>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</si>
  <si>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</si>
  <si>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</si>
  <si>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</si>
  <si>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</si>
  <si>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</si>
  <si>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</si>
  <si>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</si>
  <si>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</si>
  <si>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</si>
  <si>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</si>
  <si>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</si>
  <si>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</si>
  <si>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</si>
  <si>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</si>
  <si>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</si>
  <si>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</si>
  <si>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</si>
  <si>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</si>
  <si>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</si>
  <si>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</si>
  <si>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</si>
  <si>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</si>
  <si>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</si>
  <si>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</si>
  <si>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</si>
  <si>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</si>
  <si>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</si>
  <si>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</si>
  <si>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</si>
  <si>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</si>
  <si>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</si>
  <si>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</si>
  <si>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</si>
  <si>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</si>
  <si>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</si>
  <si>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</si>
  <si>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</si>
  <si>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</si>
  <si>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</si>
  <si>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</si>
  <si>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</si>
  <si>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</si>
  <si>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</si>
  <si>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</si>
  <si>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</si>
  <si>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</si>
  <si>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</si>
  <si>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</si>
  <si>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</si>
  <si>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</si>
  <si>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</si>
  <si>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</si>
  <si>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</si>
  <si>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</si>
  <si>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</si>
  <si>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</si>
  <si>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</si>
  <si>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</si>
  <si>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</si>
  <si>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</si>
  <si>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</si>
  <si>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</si>
  <si>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</si>
  <si>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</si>
  <si>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</si>
  <si>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</si>
  <si>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</si>
  <si>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</si>
  <si>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</si>
  <si>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</si>
  <si>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</si>
  <si>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</si>
  <si>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</si>
  <si>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</si>
  <si>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</si>
  <si>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</si>
  <si>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</si>
  <si>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</si>
  <si>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</si>
  <si>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</si>
  <si>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</si>
  <si>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</si>
  <si>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</si>
  <si>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</si>
  <si>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</si>
  <si>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</si>
  <si>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</si>
  <si>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</si>
  <si>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</si>
  <si>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</si>
  <si>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</si>
  <si>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</si>
  <si>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</si>
  <si>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</si>
  <si>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</si>
  <si>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</si>
  <si>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</si>
  <si>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</si>
  <si>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</si>
  <si>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</si>
  <si>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</si>
  <si>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</si>
  <si>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</si>
  <si>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</si>
  <si>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</si>
  <si>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</si>
  <si>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</si>
  <si>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</si>
  <si>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</si>
  <si>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</si>
  <si>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</si>
  <si>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</si>
  <si>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</si>
  <si>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</si>
  <si>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</si>
  <si>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</si>
  <si>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</si>
  <si>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</si>
  <si>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</si>
  <si>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</si>
  <si>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</si>
  <si>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</si>
  <si>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</si>
  <si>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</si>
  <si>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</si>
  <si>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</si>
  <si>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</si>
  <si>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</si>
  <si>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</si>
  <si>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</si>
  <si>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</si>
  <si>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</si>
  <si>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</si>
  <si>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</si>
  <si>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</si>
  <si>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</si>
  <si>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</si>
  <si>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</si>
  <si>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</si>
  <si>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</si>
  <si>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</si>
  <si>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</si>
  <si>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</si>
  <si>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</si>
  <si>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</si>
  <si>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</si>
  <si>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</si>
  <si>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</si>
  <si>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</si>
  <si>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</si>
  <si>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</si>
  <si>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</si>
  <si>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</si>
  <si>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</si>
  <si>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</si>
  <si>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</si>
  <si>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</si>
  <si>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</si>
  <si>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</si>
  <si>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</si>
  <si>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</si>
  <si>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</si>
  <si>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</si>
  <si>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</si>
  <si>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</si>
  <si>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</si>
  <si>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</si>
  <si>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</si>
  <si>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</si>
  <si>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</si>
  <si>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</si>
  <si>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</si>
  <si>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</si>
  <si>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</si>
  <si>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</si>
  <si>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</si>
  <si>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</si>
  <si>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</si>
  <si>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</si>
  <si>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</si>
  <si>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</si>
  <si>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</si>
  <si>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</si>
  <si>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</si>
  <si>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</si>
  <si>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</si>
  <si>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</si>
  <si>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</si>
  <si>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</si>
  <si>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</si>
  <si>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</si>
  <si>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</si>
  <si>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</si>
  <si>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</si>
  <si>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</si>
  <si>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</si>
  <si>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</si>
  <si>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</si>
  <si>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</si>
  <si>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</si>
  <si>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</si>
  <si>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</si>
  <si>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</si>
  <si>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</si>
  <si>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</si>
  <si>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</si>
  <si>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</si>
  <si>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</si>
  <si>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</si>
  <si>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</si>
  <si>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</si>
  <si>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</si>
  <si>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</si>
  <si>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</si>
  <si>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</si>
  <si>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</si>
  <si>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</si>
  <si>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</si>
  <si>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</si>
  <si>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MINISTÉRIO DA FAZENDA - UNIÃO</t>
  </si>
  <si>
    <t>DARF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</si>
  <si>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</si>
  <si>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</si>
  <si>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</si>
  <si>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</si>
  <si>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</si>
  <si>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</si>
  <si>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</si>
  <si>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</si>
  <si>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</si>
  <si>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</si>
  <si>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</si>
  <si>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</si>
  <si>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</si>
  <si>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TIPO</t>
  </si>
  <si>
    <t>3.1.90.11.61 - VENCIMENTOS E SALÁRIOS</t>
  </si>
  <si>
    <t>COLABORADORES DIVERSOS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</si>
  <si>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</si>
  <si>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</si>
  <si>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</si>
  <si>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</si>
  <si>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</si>
  <si>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</si>
  <si>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 xml:space="preserve">PUBL. DIOE PROTOCOLO 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</si>
  <si>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</si>
  <si>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</si>
  <si>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</si>
  <si>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</si>
  <si>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</si>
  <si>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</si>
  <si>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3.3.90.30.16 - MATERIAL DE EXPEDIENTE</t>
  </si>
  <si>
    <t>VERIFICAR FORNECEDOR</t>
  </si>
  <si>
    <t>3.3.90.39.12 - LOCAÇÃO DE MÁQUINAS E EQUIPAMENTOS</t>
  </si>
  <si>
    <t>INTERATIVA SOLUÇÕES EM INFORMATICA LTDA</t>
  </si>
  <si>
    <t>04.192.385/0001-97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</si>
  <si>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</si>
  <si>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</si>
  <si>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</si>
  <si>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</si>
  <si>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</si>
  <si>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</si>
  <si>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</si>
  <si>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</si>
  <si>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</si>
  <si>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</si>
  <si>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</si>
  <si>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</si>
  <si>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</si>
  <si>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MUNHOZ &amp; MUNHOZ S/S LTDA</t>
  </si>
  <si>
    <t>09.558.998/0001-19</t>
  </si>
  <si>
    <t>3.3.90.47.20 - ISS - IMPOSTO S/E SERV. DE QUALQUER NATUREZA A RECOLHER</t>
  </si>
  <si>
    <t>MUNICIPIO DE CURITIBA</t>
  </si>
  <si>
    <t>DAM</t>
  </si>
  <si>
    <t>REPASSE SECRETARIA DA CULTURA - CONTRATO DE GESTÃO</t>
  </si>
  <si>
    <t>3.1.90.47.01 - PIS/PASEP</t>
  </si>
  <si>
    <t>25.298.788/0001-95 -8301</t>
  </si>
  <si>
    <t>DARF PIS</t>
  </si>
  <si>
    <t>3.1.90.47.11 - IRPJ - IMPOSTO DE RENDA PESSOA JURIDICA A RECOLHER</t>
  </si>
  <si>
    <t>3.3.90.39.35 - MULTAS DEDUTIVAS</t>
  </si>
  <si>
    <t>TRANSFERÊNCIA CONTA DE RESERVA</t>
  </si>
  <si>
    <t>APLICAÇÃO</t>
  </si>
  <si>
    <t>3.3.90.40.04 - SERVIÇO DE PROCESSAMENTO DE DADOS</t>
  </si>
  <si>
    <t xml:space="preserve">VELTI SISTEMAS E EQUIPAMENTOS LTDA </t>
  </si>
  <si>
    <t>05.734.665/0001-42</t>
  </si>
  <si>
    <t>PGTO SERVIÇOS SOFTWARE PONTO FUNCIONÁRIOS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</si>
  <si>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</si>
  <si>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</si>
  <si>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</si>
  <si>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</si>
  <si>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3.3.90.39.04 - DIREITOS AUTORAIS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</si>
  <si>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</si>
  <si>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</si>
  <si>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</si>
  <si>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</si>
  <si>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</si>
  <si>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</si>
  <si>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</si>
  <si>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 xml:space="preserve">CLINIMERCES MEDSISTEN - ASSESSORIA EM SEGURANCA DO TRABALHO LTDA </t>
  </si>
  <si>
    <t>09.110.390/0001-27</t>
  </si>
  <si>
    <t>PGTO EXAMES OCUPACIONAIS</t>
  </si>
  <si>
    <t>3.3.90.39.88 - SERVIÇOS DE PUBLICIDADE E PROPAGANDA</t>
  </si>
  <si>
    <t>CLASSICOS EDITORIAL LTDA</t>
  </si>
  <si>
    <t>00.723.345/0001-73</t>
  </si>
  <si>
    <t>3.9.90.39.03 - COMISSÕES E CORRETAGENS</t>
  </si>
  <si>
    <t xml:space="preserve">3.3.90.39.00 – OUTROES SERVIÇOS DE TERCEIROS </t>
  </si>
  <si>
    <t>Contratação por Edital de Chamamento nº 01/2024</t>
  </si>
  <si>
    <t>NFS-e/RPA</t>
  </si>
  <si>
    <t xml:space="preserve">APRESENTAÇÃO PALCOS SUNSET - VERÃO MAIOR PARANÁ 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</si>
  <si>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</si>
  <si>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</si>
  <si>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</si>
  <si>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</si>
  <si>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</si>
  <si>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</si>
  <si>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</si>
  <si>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</si>
  <si>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</si>
  <si>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</si>
  <si>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</si>
  <si>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</si>
  <si>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</si>
  <si>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</si>
  <si>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</si>
  <si>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</si>
  <si>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</si>
  <si>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</si>
  <si>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</si>
  <si>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</si>
  <si>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 xml:space="preserve">3.3.90.39.23 – FESTIVAIS E HOMENAGENS </t>
  </si>
  <si>
    <t>3.3.90.39.10 - LOCAÇÃO DE IMÓVEIS</t>
  </si>
  <si>
    <t>CENTRO CULTURAL TEATRO GUAIRA</t>
  </si>
  <si>
    <t>76.695.204/0001-56</t>
  </si>
  <si>
    <t>CONTRAPARTIDA USO SALA PALCOPARANA</t>
  </si>
  <si>
    <t>3.3.90.30.25 - MATERIAL PARA MANUTENÇÃO DE BENS MÓVEIS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</si>
  <si>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</si>
  <si>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</si>
  <si>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</si>
  <si>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</si>
  <si>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</si>
  <si>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 xml:space="preserve">QUALIINFO INFORMATICA LTDA </t>
  </si>
  <si>
    <t>04.009.266/0001-56</t>
  </si>
  <si>
    <t>SERVIÇOS LOCAÇÃO DE IMPRESSORA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</si>
  <si>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</si>
  <si>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</si>
  <si>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</si>
  <si>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</si>
  <si>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</si>
  <si>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</si>
  <si>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3.3.90.39.17 - MANUTENÇÃO E CONSERVAÇÃO DE MÁQUINAS E EQUIPAMENTOS</t>
  </si>
  <si>
    <t xml:space="preserve">3.3.90.47.13 - IOF - IMPOSTO SOBRE OPERAÇÕES FINANCEIRAS A RECOLHER </t>
  </si>
  <si>
    <t>3.3.90.40.23 - EMISSÃO DE CERTIFICADOS DIGITAIS</t>
  </si>
  <si>
    <t>AQUISIÇÃO DE CERTIFICADO DIGITAL</t>
  </si>
  <si>
    <t>3.3.90.39.70 -  CONFECÇÃO DE UNIFORMES, BANDEIRAS E FLÂMULAS</t>
  </si>
  <si>
    <t>3.3.90.39.63 - SERVIÇOS GRÁFICOS</t>
  </si>
  <si>
    <t>3.3.90.39.16 - MANUTENÇÃO E CONSERVAÇÃO DE BENS IMÓVEIS</t>
  </si>
  <si>
    <t>3.3.90.30.07 - GÊNEROS DE ALIMENTAÇÃO</t>
  </si>
  <si>
    <t xml:space="preserve"> 4.4.90.52.12 – APARELHOS E UTENSÍLIOS DOMÉSTICOS</t>
  </si>
  <si>
    <t>3.3.90.39.14 - LOCAÇÃO DE BENS MÓVEIS E OUTRAS NATUREZAS</t>
  </si>
  <si>
    <t>- todas -</t>
  </si>
  <si>
    <t>Meta I - Folha de Pgto - Até 12.258.661,03</t>
  </si>
  <si>
    <t>Soma de DÉBITO</t>
  </si>
  <si>
    <t>ENTIDADE</t>
  </si>
  <si>
    <t>#N/DISP</t>
  </si>
  <si>
    <t>Total Resultado</t>
  </si>
  <si>
    <t>PALCOPARANA</t>
  </si>
  <si>
    <t>(vazio)</t>
  </si>
  <si>
    <t>CCTG</t>
  </si>
  <si>
    <t>SEEC</t>
  </si>
  <si>
    <t>MATERIAL DE ESCRITORIO</t>
  </si>
  <si>
    <t>e-PROTOCOLO</t>
  </si>
  <si>
    <t>FOLHA PAGAMENTO 12.2024</t>
  </si>
  <si>
    <t>FOLHA FÉRIAS 01.2025</t>
  </si>
  <si>
    <t>17.095.139/0001-69</t>
  </si>
  <si>
    <t xml:space="preserve">PGTO AUX. REFEIÇÃO 01.2025 - UNIFICADO </t>
  </si>
  <si>
    <t>MARIANA ZIBETTI</t>
  </si>
  <si>
    <t>BREJEIRAS - RECEPTIVO CULTURAL PARANAGUÁ</t>
  </si>
  <si>
    <t>10.963.236/0001-87</t>
  </si>
  <si>
    <t>DARF INSS - PIS - IRRF FOLHA .2024</t>
  </si>
  <si>
    <t>PGTO FGTS 12.2024</t>
  </si>
  <si>
    <t>FABIANO SILVEIRA</t>
  </si>
  <si>
    <t>TRIO QUINTINA - RECEPTIVO CULTURAL PARANAGUÁ</t>
  </si>
  <si>
    <t>PAIDEIA PRODUÇÕES ARTISTICAS</t>
  </si>
  <si>
    <t>CONTRATAÇÃO CONSULTOR TECNICO OPV 2025</t>
  </si>
  <si>
    <t>JULIO CESAR VIEIRA</t>
  </si>
  <si>
    <t>TRIO JULIÃO BOEMIO - RECEPTIVO CULTURAL PARANAGUÁ</t>
  </si>
  <si>
    <t>FOLHA PAGAMENTO 01.2025</t>
  </si>
  <si>
    <t>SERVIÇOS CONTÁBEIS 12.2024</t>
  </si>
  <si>
    <t>JANINE MATHIAS CANTORA E PRODUTORA</t>
  </si>
  <si>
    <t>JANINE MATIAS - RECEPTIVO CULTURAL PARANAGUÁ</t>
  </si>
  <si>
    <t>PGTO AUX. ALIMENTAÇÃO 02.2025 -UNIFICADO</t>
  </si>
  <si>
    <t>PGTO AUX. REFEIÇÃO 02.2025 -UNIFICADO</t>
  </si>
  <si>
    <t>31.075.421/0001-05</t>
  </si>
  <si>
    <t>TERNES, BARREIROS E CIA LTDA</t>
  </si>
  <si>
    <t>CIA DOS PALHAÇOS - RECEPTIVO CULTURAL PARANAGUÁ</t>
  </si>
  <si>
    <t>PGTO FGTS 01.2025</t>
  </si>
  <si>
    <t>DARF INSS - PIS - IRRF FOLHA 01.2025</t>
  </si>
  <si>
    <t>FOLHA FÉRIAS  02.2025</t>
  </si>
  <si>
    <t xml:space="preserve">CONTA 12155-X SUPERAVIT PALCOPARANÁ </t>
  </si>
  <si>
    <t>FOLHA PAGAMENTO 02.2025</t>
  </si>
  <si>
    <t>PGTO AUX. REFEIÇÃO 02.2025 -PARCIAL</t>
  </si>
  <si>
    <t>EXCELENCIAMED MEDICINA E SEGURANÇA DO TRABALHO SS LTDA</t>
  </si>
  <si>
    <t>18.444.090/0001-75</t>
  </si>
  <si>
    <t>META 05</t>
  </si>
  <si>
    <t>23.254.876-2</t>
  </si>
  <si>
    <t>13.841.558/0001-41</t>
  </si>
  <si>
    <t>FABIANO SANTOS E BANDA - Inex -  APRESENTAÇÃO PALCOS SUNSET  VERÃO MAIOR PARANÁ</t>
  </si>
  <si>
    <t>1</t>
  </si>
  <si>
    <t>23.252.031-0</t>
  </si>
  <si>
    <t>53.115.982/0001*32</t>
  </si>
  <si>
    <t>LA MALA CONDUCTA - Inex -  APRESENTAÇÃO PALCOS SUNSET  VERÃO MAIOR PARANÁ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</si>
  <si>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</si>
  <si>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</si>
  <si>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</si>
  <si>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</si>
  <si>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</si>
  <si>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</si>
  <si>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</si>
  <si>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</si>
  <si>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</si>
  <si>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DRIAL ORGANIZAÇÃO DE EVENTOS ESPORTIVOS LTDA</t>
  </si>
  <si>
    <t>95.409.611/0001-02</t>
  </si>
  <si>
    <t>PREG-E 1836/2024 - RH e RM Licitação - OPV 2024-2025</t>
  </si>
  <si>
    <t>11</t>
  </si>
  <si>
    <t>FORCE LOCAÇÃO E COMERCIO DE GERADORES LTDA</t>
  </si>
  <si>
    <t>48.248.722/0001-95</t>
  </si>
  <si>
    <t>PREG-E 1836/2024 -Gerador - OPV 2024-2025</t>
  </si>
  <si>
    <t>ANDRESSA CAVALCANTE</t>
  </si>
  <si>
    <t>RESCISÃO</t>
  </si>
  <si>
    <t>GRRF</t>
  </si>
  <si>
    <t>ANDREI JOSE MUCELINI</t>
  </si>
  <si>
    <t>MARTINA HOLFMANN</t>
  </si>
  <si>
    <t>DARF RESCISAO</t>
  </si>
  <si>
    <t>NELSON T MELLO MEIRA JR</t>
  </si>
  <si>
    <t>JOAO L B DE OLIVEIRA</t>
  </si>
  <si>
    <t>TRANSFERÊNCIA 5% - CONTA DE RESERVA</t>
  </si>
  <si>
    <t>Saldo da conta-corrente:</t>
  </si>
  <si>
    <t>Conta:</t>
  </si>
  <si>
    <t>13434-1  PALCOPARANA CONT GES RTV</t>
  </si>
  <si>
    <t>Posição financeira em  13.dezembro</t>
  </si>
  <si>
    <t>Recebíveis previstos de locação até fev.</t>
  </si>
  <si>
    <t>Parcela 3/3 convênio RTVE</t>
  </si>
  <si>
    <t>Despesas previstas</t>
  </si>
  <si>
    <t>Gilson - manutenção</t>
  </si>
  <si>
    <t>Técnico de Som</t>
  </si>
  <si>
    <t xml:space="preserve">Saldo disponível </t>
  </si>
  <si>
    <t>Contrato Audi/Palco Paraná - PROJETO “TEATRO PARA CRIANÇAS”</t>
  </si>
  <si>
    <t>MARIA REGINA VOGUE ME</t>
  </si>
  <si>
    <t>84.900.091/0001-01</t>
  </si>
  <si>
    <t>Pgmento MARIA REGINA VOGUE ME</t>
  </si>
  <si>
    <t>PARNAXX LTDA ME</t>
  </si>
  <si>
    <t>10.568.738./0001-03</t>
  </si>
  <si>
    <t>Pgmento PARNAXX LTDA ME</t>
  </si>
  <si>
    <t>BAQUETA PRODUCOES</t>
  </si>
  <si>
    <t>19.030.403/0001-01</t>
  </si>
  <si>
    <t>Pgmento BAQUETA PRODUCOES</t>
  </si>
  <si>
    <t>351 Aplicação BB CDB DI</t>
  </si>
  <si>
    <t>Saldo</t>
  </si>
  <si>
    <t>Adiantamento de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</si>
</sst>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\-??_-;_-@_-"/>
    <numFmt numFmtId="165" formatCode="00000"/>
    <numFmt numFmtId="166" formatCode="_-&quot;R$&quot;* #,##0.00_-;&quot;-R$&quot;* #,##0.00_-;_-&quot;R$&quot;* \-??_-;_-@_-"/>
    <numFmt numFmtId="167" formatCode="dd/mm/yyyy;@"/>
    <numFmt numFmtId="168" formatCode="&quot;R$&quot;#,##0.00;[Red]&quot;-R$&quot;#,##0.00"/>
    <numFmt numFmtId="169" formatCode="0.000%"/>
    <numFmt numFmtId="170" formatCode="_-[$R$-416]* #,##0.00_-;\-[$R$-416]* #,##0.00_-;_-[$R$-416]* \-??_-;_-@_-"/>
    <numFmt numFmtId="171" formatCode="_-&quot;R$ &quot;* #,##0.00_-;&quot;-R$ &quot;* #,##0.00_-;_-&quot;R$ &quot;* \-??_-;_-@_-"/>
  </numFmts>
  <fonts count="25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8"/>
      <color rgb="FFFFFFFF"/>
      <name val="Arial"/>
      <family val="2"/>
      <charset val="1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8"/>
      <color theme="4"/>
      <name val="Calibri"/>
      <family val="2"/>
      <charset val="1"/>
    </font>
    <font>
      <sz val="8"/>
      <color rgb="FF5B9BD5"/>
      <name val="Calibri"/>
      <family val="2"/>
      <charset val="1"/>
    </font>
    <font>
      <sz val="8"/>
      <color rgb="FF00B050"/>
      <name val="Calibri"/>
      <family val="2"/>
      <charset val="1"/>
    </font>
    <font>
      <sz val="8"/>
      <color theme="1"/>
      <name val="Arial"/>
      <family val="2"/>
      <charset val="1"/>
    </font>
    <font>
      <sz val="8"/>
      <color rgb="FF333333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8"/>
      <name val="Arial"/>
      <family val="2"/>
      <charset val="1"/>
    </font>
    <font>
      <b/>
      <sz val="8"/>
      <color theme="7" tint="-0.249977111117893"/>
      <name val="Arial"/>
      <family val="2"/>
      <charset val="1"/>
    </font>
    <font>
      <sz val="8"/>
      <color theme="7" tint="-0.249977111117893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57795E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002060"/>
        <bgColor rgb="FF000080"/>
      </patternFill>
    </fill>
    <fill>
      <patternFill patternType="solid">
        <fgColor theme="2" tint="-0.749992370372631"/>
        <bgColor rgb="FF333333"/>
      </patternFill>
    </fill>
    <fill>
      <patternFill patternType="solid">
        <fgColor rgb="FFFCF600"/>
        <bgColor rgb="FFFFFF00"/>
      </patternFill>
    </fill>
    <fill>
      <patternFill patternType="solid">
        <fgColor theme="0" tint="-0.14999847407452621"/>
        <bgColor rgb="FFC0C0C0"/>
      </patternFill>
    </fill>
  </fills>
  <borders count="3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164" fontId="24" fillId="0" borderId="0" applyBorder="0" applyProtection="0"/>
    <xf numFmtId="166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181">
    <xf numFmtId="0" fontId="0" fillId="0" borderId="0" xfId="0"/>
    <xf numFmtId="0" fontId="2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1" fillId="0" borderId="5" xfId="0" applyFont="1" applyBorder="1" applyAlignment="1">
      <alignment horizontal="left"/>
    </xf>
    <xf numFmtId="0" fontId="17" fillId="4" borderId="5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 vertical="top"/>
      <protection locked="0"/>
    </xf>
    <xf numFmtId="166" fontId="2" fillId="2" borderId="2" xfId="2" applyFont="1" applyFill="1" applyBorder="1" applyAlignment="1" applyProtection="1">
      <alignment horizontal="center"/>
      <protection locked="0"/>
    </xf>
    <xf numFmtId="166" fontId="3" fillId="2" borderId="2" xfId="2" applyFont="1" applyFill="1" applyBorder="1" applyAlignment="1" applyProtection="1">
      <alignment horizontal="center"/>
      <protection locked="0"/>
    </xf>
    <xf numFmtId="166" fontId="2" fillId="2" borderId="3" xfId="2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6" fontId="7" fillId="0" borderId="5" xfId="2" applyFont="1" applyBorder="1" applyAlignment="1" applyProtection="1">
      <alignment horizontal="left" vertical="center"/>
      <protection locked="0"/>
    </xf>
    <xf numFmtId="166" fontId="4" fillId="0" borderId="5" xfId="2" applyFont="1" applyBorder="1" applyAlignment="1" applyProtection="1">
      <alignment horizontal="left" vertical="center"/>
      <protection locked="0"/>
    </xf>
    <xf numFmtId="166" fontId="4" fillId="0" borderId="6" xfId="2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7" fontId="5" fillId="0" borderId="5" xfId="0" applyNumberFormat="1" applyFont="1" applyBorder="1" applyAlignment="1" applyProtection="1">
      <alignment horizontal="left" vertical="center" wrapText="1" shrinkToFit="1"/>
      <protection locked="0"/>
    </xf>
    <xf numFmtId="1" fontId="6" fillId="0" borderId="5" xfId="1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67" fontId="5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66" fontId="7" fillId="0" borderId="9" xfId="2" applyFont="1" applyBorder="1" applyAlignment="1" applyProtection="1">
      <alignment horizontal="left" vertical="center"/>
      <protection locked="0"/>
    </xf>
    <xf numFmtId="166" fontId="4" fillId="0" borderId="9" xfId="2" applyFont="1" applyBorder="1" applyAlignment="1" applyProtection="1">
      <alignment horizontal="left" vertical="center"/>
      <protection locked="0"/>
    </xf>
    <xf numFmtId="166" fontId="4" fillId="0" borderId="10" xfId="2" applyFont="1" applyBorder="1" applyAlignment="1" applyProtection="1">
      <alignment horizontal="left" vertical="center"/>
      <protection locked="0"/>
    </xf>
    <xf numFmtId="0" fontId="9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/>
    <xf numFmtId="0" fontId="6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/>
    <xf numFmtId="0" fontId="6" fillId="3" borderId="5" xfId="0" applyFont="1" applyFill="1" applyBorder="1" applyAlignment="1">
      <alignment horizontal="left"/>
    </xf>
    <xf numFmtId="0" fontId="5" fillId="0" borderId="5" xfId="0" applyFont="1" applyBorder="1"/>
    <xf numFmtId="0" fontId="13" fillId="0" borderId="5" xfId="0" applyFont="1" applyBorder="1"/>
    <xf numFmtId="0" fontId="14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/>
    <xf numFmtId="0" fontId="11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9" fillId="0" borderId="5" xfId="0" applyFont="1" applyBorder="1"/>
    <xf numFmtId="0" fontId="9" fillId="0" borderId="9" xfId="0" applyFont="1" applyBorder="1" applyAlignment="1">
      <alignment wrapText="1"/>
    </xf>
    <xf numFmtId="168" fontId="0" fillId="0" borderId="0" xfId="0" applyNumberFormat="1"/>
    <xf numFmtId="0" fontId="24" fillId="0" borderId="0" xfId="9"/>
    <xf numFmtId="0" fontId="0" fillId="0" borderId="5" xfId="0" applyBorder="1"/>
    <xf numFmtId="0" fontId="24" fillId="0" borderId="11" xfId="7" applyBorder="1"/>
    <xf numFmtId="0" fontId="24" fillId="0" borderId="12" xfId="9" applyBorder="1"/>
    <xf numFmtId="0" fontId="24" fillId="0" borderId="13" xfId="7" applyBorder="1"/>
    <xf numFmtId="0" fontId="24" fillId="0" borderId="14" xfId="7" applyBorder="1"/>
    <xf numFmtId="0" fontId="24" fillId="0" borderId="15" xfId="9" applyBorder="1"/>
    <xf numFmtId="0" fontId="24" fillId="0" borderId="3" xfId="10" applyBorder="1">
      <alignment horizontal="left"/>
    </xf>
    <xf numFmtId="0" fontId="24" fillId="0" borderId="7" xfId="10" applyBorder="1">
      <alignment horizontal="left"/>
    </xf>
    <xf numFmtId="0" fontId="1" fillId="0" borderId="16" xfId="11" applyBorder="1">
      <alignment horizontal="left"/>
    </xf>
    <xf numFmtId="0" fontId="24" fillId="0" borderId="17" xfId="10" applyBorder="1">
      <alignment horizontal="left"/>
    </xf>
    <xf numFmtId="167" fontId="24" fillId="0" borderId="18" xfId="10" applyNumberFormat="1" applyBorder="1">
      <alignment horizontal="left"/>
    </xf>
    <xf numFmtId="0" fontId="24" fillId="0" borderId="10" xfId="8" applyBorder="1"/>
    <xf numFmtId="0" fontId="24" fillId="0" borderId="19" xfId="8" applyBorder="1"/>
    <xf numFmtId="0" fontId="24" fillId="0" borderId="8" xfId="8" applyBorder="1"/>
    <xf numFmtId="0" fontId="1" fillId="0" borderId="20" xfId="12" applyBorder="1"/>
    <xf numFmtId="0" fontId="24" fillId="0" borderId="21" xfId="9" applyBorder="1"/>
    <xf numFmtId="0" fontId="24" fillId="0" borderId="22" xfId="7" applyBorder="1"/>
    <xf numFmtId="169" fontId="0" fillId="0" borderId="0" xfId="0" applyNumberFormat="1"/>
    <xf numFmtId="0" fontId="24" fillId="0" borderId="18" xfId="10" applyBorder="1">
      <alignment horizontal="left"/>
    </xf>
    <xf numFmtId="170" fontId="24" fillId="0" borderId="23" xfId="8" applyNumberFormat="1" applyBorder="1"/>
    <xf numFmtId="167" fontId="24" fillId="0" borderId="24" xfId="10" applyNumberFormat="1" applyBorder="1">
      <alignment horizontal="left"/>
    </xf>
    <xf numFmtId="170" fontId="24" fillId="0" borderId="25" xfId="8" applyNumberFormat="1" applyBorder="1"/>
    <xf numFmtId="0" fontId="24" fillId="0" borderId="0" xfId="8"/>
    <xf numFmtId="0" fontId="24" fillId="0" borderId="26" xfId="8" applyBorder="1"/>
    <xf numFmtId="170" fontId="1" fillId="0" borderId="27" xfId="12" applyNumberFormat="1" applyBorder="1"/>
    <xf numFmtId="0" fontId="0" fillId="0" borderId="28" xfId="0" applyBorder="1"/>
    <xf numFmtId="0" fontId="24" fillId="0" borderId="29" xfId="8" applyBorder="1"/>
    <xf numFmtId="10" fontId="0" fillId="0" borderId="0" xfId="0" applyNumberFormat="1"/>
    <xf numFmtId="0" fontId="24" fillId="0" borderId="24" xfId="10" applyBorder="1">
      <alignment horizontal="left"/>
    </xf>
    <xf numFmtId="0" fontId="24" fillId="0" borderId="30" xfId="8" applyBorder="1"/>
    <xf numFmtId="170" fontId="24" fillId="0" borderId="0" xfId="8" applyNumberFormat="1"/>
    <xf numFmtId="0" fontId="24" fillId="0" borderId="25" xfId="8" applyBorder="1"/>
    <xf numFmtId="0" fontId="24" fillId="0" borderId="3" xfId="8" applyBorder="1"/>
    <xf numFmtId="0" fontId="24" fillId="0" borderId="7" xfId="8" applyBorder="1"/>
    <xf numFmtId="0" fontId="24" fillId="0" borderId="17" xfId="8" applyBorder="1"/>
    <xf numFmtId="0" fontId="1" fillId="0" borderId="28" xfId="11" applyBorder="1">
      <alignment horizontal="left"/>
    </xf>
    <xf numFmtId="170" fontId="1" fillId="0" borderId="31" xfId="12" applyNumberFormat="1" applyBorder="1"/>
    <xf numFmtId="0" fontId="1" fillId="0" borderId="32" xfId="12" applyBorder="1"/>
    <xf numFmtId="170" fontId="1" fillId="0" borderId="32" xfId="12" applyNumberFormat="1" applyBorder="1"/>
    <xf numFmtId="170" fontId="1" fillId="0" borderId="33" xfId="12" applyNumberFormat="1" applyBorder="1"/>
    <xf numFmtId="170" fontId="24" fillId="0" borderId="7" xfId="8" applyNumberFormat="1" applyBorder="1"/>
    <xf numFmtId="0" fontId="24" fillId="0" borderId="1" xfId="8" applyBorder="1"/>
    <xf numFmtId="170" fontId="1" fillId="0" borderId="34" xfId="12" applyNumberFormat="1" applyBorder="1"/>
    <xf numFmtId="167" fontId="1" fillId="0" borderId="28" xfId="11" applyNumberFormat="1" applyBorder="1">
      <alignment horizontal="left"/>
    </xf>
    <xf numFmtId="0" fontId="1" fillId="0" borderId="35" xfId="12" applyBorder="1"/>
    <xf numFmtId="170" fontId="1" fillId="0" borderId="29" xfId="12" applyNumberFormat="1" applyBorder="1"/>
    <xf numFmtId="0" fontId="0" fillId="0" borderId="5" xfId="0" applyBorder="1" applyAlignment="1">
      <alignment horizontal="left"/>
    </xf>
    <xf numFmtId="171" fontId="0" fillId="0" borderId="5" xfId="0" applyNumberFormat="1" applyBorder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70" fontId="15" fillId="0" borderId="0" xfId="0" applyNumberFormat="1" applyFont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165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1" applyNumberFormat="1" applyFont="1" applyFill="1" applyBorder="1" applyAlignment="1" applyProtection="1">
      <alignment horizontal="center" vertical="center"/>
      <protection locked="0"/>
    </xf>
    <xf numFmtId="166" fontId="2" fillId="5" borderId="2" xfId="2" applyFont="1" applyFill="1" applyBorder="1" applyAlignment="1" applyProtection="1">
      <alignment horizontal="center" vertical="center"/>
      <protection locked="0"/>
    </xf>
    <xf numFmtId="170" fontId="3" fillId="5" borderId="2" xfId="2" applyNumberFormat="1" applyFont="1" applyFill="1" applyBorder="1" applyAlignment="1" applyProtection="1">
      <alignment horizontal="center" vertical="center"/>
      <protection locked="0"/>
    </xf>
    <xf numFmtId="166" fontId="2" fillId="5" borderId="3" xfId="2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67" fontId="6" fillId="0" borderId="5" xfId="0" applyNumberFormat="1" applyFont="1" applyBorder="1" applyAlignment="1" applyProtection="1">
      <alignment horizontal="left" vertical="center" shrinkToFit="1"/>
      <protection locked="0"/>
    </xf>
    <xf numFmtId="170" fontId="4" fillId="0" borderId="5" xfId="2" applyNumberFormat="1" applyFont="1" applyBorder="1" applyAlignment="1" applyProtection="1">
      <alignment horizontal="left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top"/>
    </xf>
    <xf numFmtId="171" fontId="15" fillId="0" borderId="0" xfId="0" applyNumberFormat="1" applyFont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170" fontId="24" fillId="0" borderId="10" xfId="8" applyNumberFormat="1" applyBorder="1"/>
    <xf numFmtId="0" fontId="24" fillId="0" borderId="23" xfId="8" applyBorder="1"/>
    <xf numFmtId="0" fontId="1" fillId="0" borderId="33" xfId="12" applyBorder="1"/>
    <xf numFmtId="1" fontId="6" fillId="6" borderId="5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0" fontId="0" fillId="0" borderId="0" xfId="0" applyNumberForma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166" fontId="2" fillId="2" borderId="2" xfId="2" applyFont="1" applyFill="1" applyBorder="1" applyAlignment="1" applyProtection="1">
      <alignment horizontal="center" vertical="center"/>
      <protection locked="0"/>
    </xf>
    <xf numFmtId="170" fontId="3" fillId="2" borderId="2" xfId="2" applyNumberFormat="1" applyFont="1" applyFill="1" applyBorder="1" applyAlignment="1" applyProtection="1">
      <alignment horizontal="center" vertical="center"/>
      <protection locked="0"/>
    </xf>
    <xf numFmtId="166" fontId="2" fillId="2" borderId="3" xfId="2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0" fontId="15" fillId="0" borderId="0" xfId="0" applyNumberFormat="1" applyFont="1" applyAlignment="1" applyProtection="1">
      <alignment horizontal="right" vertical="center"/>
      <protection locked="0"/>
    </xf>
    <xf numFmtId="166" fontId="4" fillId="7" borderId="5" xfId="2" applyFont="1" applyFill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top"/>
    </xf>
    <xf numFmtId="0" fontId="15" fillId="0" borderId="36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" fillId="0" borderId="0" xfId="0" applyFont="1"/>
    <xf numFmtId="171" fontId="21" fillId="0" borderId="5" xfId="0" applyNumberFormat="1" applyFont="1" applyBorder="1"/>
    <xf numFmtId="0" fontId="21" fillId="0" borderId="5" xfId="0" applyFont="1" applyBorder="1"/>
    <xf numFmtId="0" fontId="21" fillId="0" borderId="0" xfId="0" applyFont="1"/>
    <xf numFmtId="171" fontId="22" fillId="0" borderId="0" xfId="0" applyNumberFormat="1" applyFont="1"/>
    <xf numFmtId="171" fontId="21" fillId="0" borderId="0" xfId="0" applyNumberFormat="1" applyFont="1"/>
    <xf numFmtId="171" fontId="1" fillId="0" borderId="0" xfId="0" applyNumberFormat="1" applyFont="1"/>
    <xf numFmtId="0" fontId="0" fillId="0" borderId="6" xfId="0" applyBorder="1"/>
    <xf numFmtId="0" fontId="0" fillId="0" borderId="37" xfId="0" applyBorder="1"/>
    <xf numFmtId="0" fontId="0" fillId="0" borderId="4" xfId="0" applyBorder="1"/>
    <xf numFmtId="171" fontId="22" fillId="0" borderId="5" xfId="0" applyNumberFormat="1" applyFont="1" applyBorder="1"/>
    <xf numFmtId="49" fontId="6" fillId="0" borderId="0" xfId="0" applyNumberFormat="1" applyFont="1" applyAlignment="1" applyProtection="1">
      <alignment horizontal="left" vertical="center"/>
      <protection locked="0"/>
    </xf>
    <xf numFmtId="171" fontId="0" fillId="0" borderId="0" xfId="0" applyNumberFormat="1"/>
    <xf numFmtId="0" fontId="5" fillId="0" borderId="9" xfId="0" applyFont="1" applyBorder="1" applyAlignment="1" applyProtection="1">
      <alignment horizontal="center" vertical="center"/>
      <protection locked="0"/>
    </xf>
    <xf numFmtId="167" fontId="6" fillId="0" borderId="9" xfId="0" applyNumberFormat="1" applyFont="1" applyBorder="1" applyAlignment="1" applyProtection="1">
      <alignment horizontal="left" vertical="center" shrinkToFit="1"/>
      <protection locked="0"/>
    </xf>
    <xf numFmtId="1" fontId="6" fillId="0" borderId="5" xfId="1" applyNumberFormat="1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5" fontId="6" fillId="0" borderId="5" xfId="0" applyNumberFormat="1" applyFont="1" applyBorder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vertical="center"/>
      <protection locked="0"/>
    </xf>
  </cellXfs>
  <cellStyles count="13">
    <cellStyle name="Campo da tabela dinâmica" xfId="9" xr:uid="{00000000-0005-0000-0000-00000C000000}"/>
    <cellStyle name="Canto da tabela dinâmica" xfId="7" xr:uid="{00000000-0005-0000-0000-00000A000000}"/>
    <cellStyle name="Categoria da tabela dinâmica" xfId="10" xr:uid="{00000000-0005-0000-0000-00000D000000}"/>
    <cellStyle name="Moeda" xfId="2" builtinId="4"/>
    <cellStyle name="Normal" xfId="0" builtinId="0"/>
    <cellStyle name="Resultado da tabela dinâmica" xfId="12" xr:uid="{00000000-0005-0000-0000-00000F000000}"/>
    <cellStyle name="Título da tabela dinâmica" xfId="11" xr:uid="{00000000-0005-0000-0000-00000E000000}"/>
    <cellStyle name="Valor da tabela dinâmica" xfId="8" xr:uid="{00000000-0005-0000-0000-00000B000000}"/>
    <cellStyle name="Vírgula" xfId="1" builtinId="3"/>
    <cellStyle name="Vírgula 2" xfId="3" xr:uid="{00000000-0005-0000-0000-000006000000}"/>
    <cellStyle name="Vírgula 3" xfId="4" xr:uid="{00000000-0005-0000-0000-000007000000}"/>
    <cellStyle name="Vírgula 4" xfId="5" xr:uid="{00000000-0005-0000-0000-000008000000}"/>
    <cellStyle name="Vírgula 5" xfId="6" xr:uid="{00000000-0005-0000-0000-000009000000}"/>
  </cellStyles>
  <dxfs count="71"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5B9BD5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6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7795E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2060"/>
      <rgbColor rgb="FF00B050"/>
      <rgbColor rgb="FF003300"/>
      <rgbColor rgb="FF3B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495360</xdr:colOff>
      <xdr:row>1</xdr:row>
      <xdr:rowOff>38160</xdr:rowOff>
    </xdr:from>
    <xdr:to>
      <xdr:col>4</xdr:col>
      <xdr:colOff>95040</xdr:colOff>
      <xdr:row>4</xdr:row>
      <xdr:rowOff>75960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2720" y="228600"/>
          <a:ext cx="1552680" cy="60948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a24" displayName="Tabela24" ref="A1:K742" totalsRowShown="0">
  <autoFilter ref="A1:K742" xr:uid="{00000000-0009-0000-0100-000007000000}"/>
  <tableColumns count="11">
    <tableColumn id="1" xr3:uid="{00000000-0010-0000-0000-000001000000}" name="Nº"/>
    <tableColumn id="2" xr3:uid="{00000000-0010-0000-0000-000002000000}" name="DATA"/>
    <tableColumn id="3" xr3:uid="{00000000-0010-0000-0000-000003000000}" name="RUBRICA"/>
    <tableColumn id="4" xr3:uid="{00000000-0010-0000-0000-000004000000}" name="FAVORECIDO"/>
    <tableColumn id="5" xr3:uid="{00000000-0010-0000-0000-000005000000}" name="CNPJ/CPF"/>
    <tableColumn id="6" xr3:uid="{00000000-0010-0000-0000-000006000000}" name="TIPO DOCUMENTO"/>
    <tableColumn id="7" xr3:uid="{00000000-0010-0000-0000-000007000000}" name="Nº2"/>
    <tableColumn id="8" xr3:uid="{00000000-0010-0000-0000-000008000000}" name="DESCRIÇÃO"/>
    <tableColumn id="9" xr3:uid="{00000000-0010-0000-0000-000009000000}" name="CRÉDITO"/>
    <tableColumn id="10" xr3:uid="{00000000-0010-0000-0000-00000A000000}" name="DÉBITO"/>
    <tableColumn id="11" xr3:uid="{00000000-0010-0000-0000-00000B000000}" name="SAL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Base" displayName="Base" ref="B1:H77" totalsRowShown="0">
  <autoFilter ref="B1:H77" xr:uid="{00000000-0009-0000-0100-000001000000}"/>
  <tableColumns count="7">
    <tableColumn id="1" xr3:uid="{00000000-0010-0000-0100-000001000000}" name="Nº"/>
    <tableColumn id="2" xr3:uid="{00000000-0010-0000-0100-000002000000}" name="RUBRICA"/>
    <tableColumn id="3" xr3:uid="{00000000-0010-0000-0100-000003000000}" name="FAVORECIDO"/>
    <tableColumn id="4" xr3:uid="{00000000-0010-0000-0100-000004000000}" name="CNPJ/CPF"/>
    <tableColumn id="5" xr3:uid="{00000000-0010-0000-0100-000005000000}" name="TIPO"/>
    <tableColumn id="6" xr3:uid="{00000000-0010-0000-0100-000006000000}" name="Nº2"/>
    <tableColumn id="7" xr3:uid="{00000000-0010-0000-0100-000007000000}" name="DESCRIÇÃ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tratoBanco" displayName="ExtratoBanco" ref="A1:M82" totalsRowShown="0">
  <autoFilter ref="A1:M82" xr:uid="{00000000-0009-0000-0100-000002000000}"/>
  <tableColumns count="13">
    <tableColumn id="1" xr3:uid="{00000000-0010-0000-0200-000001000000}" name="Nº"/>
    <tableColumn id="2" xr3:uid="{00000000-0010-0000-0200-000002000000}" name="e-PROTOCOLO"/>
    <tableColumn id="3" xr3:uid="{00000000-0010-0000-0200-000003000000}" name="ENTIDADE"/>
    <tableColumn id="4" xr3:uid="{00000000-0010-0000-0200-000004000000}" name="DATA"/>
    <tableColumn id="5" xr3:uid="{00000000-0010-0000-0200-000005000000}" name="RUBRICA"/>
    <tableColumn id="6" xr3:uid="{00000000-0010-0000-0200-000006000000}" name="FAVORECIDO"/>
    <tableColumn id="7" xr3:uid="{00000000-0010-0000-0200-000007000000}" name="CNPJ/CPF"/>
    <tableColumn id="8" xr3:uid="{00000000-0010-0000-0200-000008000000}" name="TIPO DOCUMENTO"/>
    <tableColumn id="9" xr3:uid="{00000000-0010-0000-0200-000009000000}" name="Nº2"/>
    <tableColumn id="10" xr3:uid="{00000000-0010-0000-0200-00000A000000}" name="DESCRIÇÃO"/>
    <tableColumn id="11" xr3:uid="{00000000-0010-0000-0200-00000B000000}" name="CRÉDITO"/>
    <tableColumn id="12" xr3:uid="{00000000-0010-0000-0200-00000C000000}" name="DÉBITO"/>
    <tableColumn id="13" xr3:uid="{00000000-0010-0000-0200-00000D000000}" name="SAL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ExtratoBanco8" displayName="ExtratoBanco8" ref="A1:M128" totalsRowShown="0">
  <autoFilter ref="A1:M128" xr:uid="{00000000-0009-0000-0100-000006000000}"/>
  <tableColumns count="13">
    <tableColumn id="1" xr3:uid="{00000000-0010-0000-0300-000001000000}" name="Nº"/>
    <tableColumn id="2" xr3:uid="{00000000-0010-0000-0300-000002000000}" name="e-PROTOCOLO"/>
    <tableColumn id="3" xr3:uid="{00000000-0010-0000-0300-000003000000}" name="ENTIDADE"/>
    <tableColumn id="4" xr3:uid="{00000000-0010-0000-0300-000004000000}" name="DATA"/>
    <tableColumn id="5" xr3:uid="{00000000-0010-0000-0300-000005000000}" name="RUBRICA"/>
    <tableColumn id="6" xr3:uid="{00000000-0010-0000-0300-000006000000}" name="FAVORECIDO"/>
    <tableColumn id="7" xr3:uid="{00000000-0010-0000-0300-000007000000}" name="CNPJ/CPF"/>
    <tableColumn id="8" xr3:uid="{00000000-0010-0000-0300-000008000000}" name="TIPO DOCUMENTO"/>
    <tableColumn id="9" xr3:uid="{00000000-0010-0000-0300-000009000000}" name="Nº2"/>
    <tableColumn id="10" xr3:uid="{00000000-0010-0000-0300-00000A000000}" name="DESCRIÇÃO"/>
    <tableColumn id="11" xr3:uid="{00000000-0010-0000-0300-00000B000000}" name="CRÉDITO"/>
    <tableColumn id="12" xr3:uid="{00000000-0010-0000-0300-00000C000000}" name="DÉBITO"/>
    <tableColumn id="13" xr3:uid="{00000000-0010-0000-0300-00000D000000}" name="SAL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ExtratoBanco3" displayName="ExtratoBanco3" ref="A1:M30" totalsRowShown="0">
  <autoFilter ref="A1:M30" xr:uid="{00000000-0009-0000-0100-000003000000}"/>
  <tableColumns count="13">
    <tableColumn id="1" xr3:uid="{00000000-0010-0000-0400-000001000000}" name="Nº"/>
    <tableColumn id="2" xr3:uid="{00000000-0010-0000-0400-000002000000}" name="e-PROTOCOLO"/>
    <tableColumn id="3" xr3:uid="{00000000-0010-0000-0400-000003000000}" name="ENTIDADE"/>
    <tableColumn id="4" xr3:uid="{00000000-0010-0000-0400-000004000000}" name="DATA"/>
    <tableColumn id="5" xr3:uid="{00000000-0010-0000-0400-000005000000}" name="RUBRICA"/>
    <tableColumn id="6" xr3:uid="{00000000-0010-0000-0400-000006000000}" name="FAVORECIDO"/>
    <tableColumn id="7" xr3:uid="{00000000-0010-0000-0400-000007000000}" name="CNPJ/CPF"/>
    <tableColumn id="8" xr3:uid="{00000000-0010-0000-0400-000008000000}" name="TIPO DOCUMENTO"/>
    <tableColumn id="9" xr3:uid="{00000000-0010-0000-0400-000009000000}" name="Nº2"/>
    <tableColumn id="10" xr3:uid="{00000000-0010-0000-0400-00000A000000}" name="DESCRIÇÃO"/>
    <tableColumn id="11" xr3:uid="{00000000-0010-0000-0400-00000B000000}" name="CRÉDITO"/>
    <tableColumn id="12" xr3:uid="{00000000-0010-0000-0400-00000C000000}" name="DÉBITO"/>
    <tableColumn id="13" xr3:uid="{00000000-0010-0000-0400-00000D000000}" name="SAL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ExtratoBanco36" displayName="ExtratoBanco36" ref="A1:M12" totalsRowShown="0">
  <autoFilter ref="A1:M12" xr:uid="{00000000-0009-0000-0100-000004000000}"/>
  <tableColumns count="13">
    <tableColumn id="1" xr3:uid="{00000000-0010-0000-0500-000001000000}" name="Nº"/>
    <tableColumn id="2" xr3:uid="{00000000-0010-0000-0500-000002000000}" name="e-PROTOCOLO"/>
    <tableColumn id="3" xr3:uid="{00000000-0010-0000-0500-000003000000}" name="ENTIDADE"/>
    <tableColumn id="4" xr3:uid="{00000000-0010-0000-0500-000004000000}" name="DATA"/>
    <tableColumn id="5" xr3:uid="{00000000-0010-0000-0500-000005000000}" name="RUBRICA"/>
    <tableColumn id="6" xr3:uid="{00000000-0010-0000-0500-000006000000}" name="FAVORECIDO"/>
    <tableColumn id="7" xr3:uid="{00000000-0010-0000-0500-000007000000}" name="CNPJ/CPF"/>
    <tableColumn id="8" xr3:uid="{00000000-0010-0000-0500-000008000000}" name="TIPO DOCUMENTO"/>
    <tableColumn id="9" xr3:uid="{00000000-0010-0000-0500-000009000000}" name="Nº2"/>
    <tableColumn id="10" xr3:uid="{00000000-0010-0000-0500-00000A000000}" name="DESCRIÇÃO"/>
    <tableColumn id="11" xr3:uid="{00000000-0010-0000-0500-00000B000000}" name="CRÉDITO"/>
    <tableColumn id="12" xr3:uid="{00000000-0010-0000-0500-00000C000000}" name="DÉBITO"/>
    <tableColumn id="13" xr3:uid="{00000000-0010-0000-0500-00000D000000}" name="SAL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ExtratoBanco37" displayName="ExtratoBanco37" ref="A1:M8" totalsRowShown="0">
  <autoFilter ref="A1:M8" xr:uid="{00000000-0009-0000-0100-000005000000}"/>
  <tableColumns count="13">
    <tableColumn id="1" xr3:uid="{00000000-0010-0000-0600-000001000000}" name="Nº"/>
    <tableColumn id="2" xr3:uid="{00000000-0010-0000-0600-000002000000}" name="e-PROTOCOLO"/>
    <tableColumn id="3" xr3:uid="{00000000-0010-0000-0600-000003000000}" name="ENTIDADE"/>
    <tableColumn id="4" xr3:uid="{00000000-0010-0000-0600-000004000000}" name="DATA"/>
    <tableColumn id="5" xr3:uid="{00000000-0010-0000-0600-000005000000}" name="RUBRICA"/>
    <tableColumn id="6" xr3:uid="{00000000-0010-0000-0600-000006000000}" name="FAVORECIDO"/>
    <tableColumn id="7" xr3:uid="{00000000-0010-0000-0600-000007000000}" name="CNPJ/CPF"/>
    <tableColumn id="8" xr3:uid="{00000000-0010-0000-0600-000008000000}" name="TIPO DOCUMENTO"/>
    <tableColumn id="9" xr3:uid="{00000000-0010-0000-0600-000009000000}" name="Nº2"/>
    <tableColumn id="10" xr3:uid="{00000000-0010-0000-0600-00000A000000}" name="DESCRIÇÃO"/>
    <tableColumn id="11" xr3:uid="{00000000-0010-0000-0600-00000B000000}" name="CRÉDITO"/>
    <tableColumn id="12" xr3:uid="{00000000-0010-0000-0600-00000C000000}" name="DÉBITO"/>
    <tableColumn id="13" xr3:uid="{00000000-0010-0000-0600-00000D000000}" name="SAL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2"/>
  <sheetViews>
    <sheetView showGridLines="0" topLeftCell="G733" zoomScaleNormal="100" workbookViewId="0">
      <selection activeCell="G733" sqref="G733"/>
    </sheetView>
  </sheetViews>
  <sheetFormatPr defaultColWidth="9.140625" defaultRowHeight="15" x14ac:dyDescent="0.25"/>
  <cols>
    <col min="1" max="1" width="7.140625" style="5" customWidth="1"/>
    <col min="2" max="2" width="9.85546875" style="5" customWidth="1"/>
    <col min="3" max="3" width="17.28515625" style="6" customWidth="1"/>
    <col min="4" max="4" width="17.85546875" style="6" customWidth="1"/>
    <col min="5" max="5" width="15" style="5" customWidth="1"/>
    <col min="6" max="6" width="17.5703125" style="5" hidden="1" customWidth="1"/>
    <col min="7" max="7" width="14.140625" style="5" customWidth="1"/>
    <col min="8" max="8" width="90.28515625" style="5" customWidth="1"/>
    <col min="9" max="9" width="15" style="5" customWidth="1"/>
    <col min="10" max="10" width="18.5703125" style="5" customWidth="1"/>
    <col min="11" max="11" width="15" style="5" customWidth="1"/>
    <col min="12" max="16384" width="9.140625" style="5"/>
  </cols>
  <sheetData>
    <row r="1" spans="1:11" ht="12" customHeight="1" x14ac:dyDescent="0.25">
      <c r="A1" s="7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8</v>
      </c>
      <c r="J1" s="11" t="s">
        <v>9</v>
      </c>
      <c r="K1" s="12" t="s">
        <v>10</v>
      </c>
    </row>
    <row r="2" spans="1:11" ht="12" customHeight="1" x14ac:dyDescent="0.25">
      <c r="A2" s="13">
        <v>1</v>
      </c>
      <c r="B2" s="14">
        <v>43467</v>
      </c>
      <c r="C2" s="15" t="str">
        <f>VLOOKUP(A2,Base!B:C,2,0)</f>
        <v>3.1.90.11.61 - VENCIMENTOS E SALÁRIOS</v>
      </c>
      <c r="D2" s="15" t="str">
        <f>VLOOKUP(A2,Base!B:D,3,0)</f>
        <v>COLABORADORES DIVERSOS</v>
      </c>
      <c r="E2" s="16">
        <f>VLOOKUP($A2,Base!B:E,4,0)</f>
        <v>0</v>
      </c>
      <c r="F2" s="17" t="str">
        <f>VLOOKUP($A2,Base!B:F,5,0)</f>
        <v>HOLERITE</v>
      </c>
      <c r="G2" s="16"/>
      <c r="H2" s="18" t="s">
        <v>11</v>
      </c>
      <c r="I2" s="19"/>
      <c r="J2" s="20">
        <v>121418.24000000001</v>
      </c>
      <c r="K2" s="21">
        <v>-121208.2</v>
      </c>
    </row>
    <row r="3" spans="1:11" ht="12" customHeight="1" x14ac:dyDescent="0.25">
      <c r="A3" s="13">
        <v>2</v>
      </c>
      <c r="B3" s="14">
        <v>43467</v>
      </c>
      <c r="C3" s="15" t="str">
        <f>VLOOKUP(A3,Base!B:C,2,0)</f>
        <v>3.1.90.11.61 - VENCIMENTOS E SALÁRIOS</v>
      </c>
      <c r="D3" s="15" t="str">
        <f>VLOOKUP(A3,Base!B:D,3,0)</f>
        <v>NICOLE BARÃO RAFFS</v>
      </c>
      <c r="E3" s="16" t="str">
        <f>VLOOKUP($A3,Base!B:E,4,0)</f>
        <v>020.621.669-66</v>
      </c>
      <c r="F3" s="17" t="str">
        <f>VLOOKUP($A3,Base!B:F,5,0)</f>
        <v>HOLERITE</v>
      </c>
      <c r="G3" s="16"/>
      <c r="H3" s="17" t="s">
        <v>12</v>
      </c>
      <c r="I3" s="19"/>
      <c r="J3" s="20">
        <v>432.86</v>
      </c>
      <c r="K3" s="21">
        <f t="shared" ref="K3:K66" si="0">K2+I3-J3</f>
        <v>-121641.06</v>
      </c>
    </row>
    <row r="4" spans="1:11" ht="12" customHeight="1" x14ac:dyDescent="0.25">
      <c r="A4" s="22">
        <v>5</v>
      </c>
      <c r="B4" s="14">
        <v>43467</v>
      </c>
      <c r="C4" s="15" t="str">
        <f>VLOOKUP(A4,Base!B:C,2,0)</f>
        <v>RESGATE APLICAÇÃO</v>
      </c>
      <c r="D4" s="15" t="str">
        <f>VLOOKUP(A4,Base!B:D,3,0)</f>
        <v>PALCOPARANÁ</v>
      </c>
      <c r="E4" s="16" t="str">
        <f>VLOOKUP($A4,Base!B:E,4,0)</f>
        <v>25.298.788/0001-95</v>
      </c>
      <c r="F4" s="17">
        <f>VLOOKUP($A4,Base!B:F,5,0)</f>
        <v>0</v>
      </c>
      <c r="G4" s="16"/>
      <c r="H4" s="17" t="s">
        <v>13</v>
      </c>
      <c r="I4" s="19">
        <v>122000</v>
      </c>
      <c r="J4" s="20"/>
      <c r="K4" s="21">
        <f t="shared" si="0"/>
        <v>358.94000000000233</v>
      </c>
    </row>
    <row r="5" spans="1:11" ht="12" customHeight="1" x14ac:dyDescent="0.25">
      <c r="A5" s="22">
        <v>5</v>
      </c>
      <c r="B5" s="14">
        <v>43467</v>
      </c>
      <c r="C5" s="15" t="str">
        <f>VLOOKUP(A5,Base!B:C,2,0)</f>
        <v>RESGATE APLICAÇÃO</v>
      </c>
      <c r="D5" s="15" t="str">
        <f>VLOOKUP(A5,Base!B:D,3,0)</f>
        <v>PALCOPARANÁ</v>
      </c>
      <c r="E5" s="16" t="str">
        <f>VLOOKUP($A5,Base!B:E,4,0)</f>
        <v>25.298.788/0001-95</v>
      </c>
      <c r="F5" s="17">
        <f>VLOOKUP($A5,Base!B:F,5,0)</f>
        <v>0</v>
      </c>
      <c r="G5" s="16"/>
      <c r="H5" s="17" t="s">
        <v>13</v>
      </c>
      <c r="I5" s="19">
        <v>1361.52</v>
      </c>
      <c r="J5" s="20"/>
      <c r="K5" s="21">
        <f t="shared" si="0"/>
        <v>1720.4600000000023</v>
      </c>
    </row>
    <row r="6" spans="1:11" ht="12" customHeight="1" x14ac:dyDescent="0.25">
      <c r="A6" s="13">
        <v>6</v>
      </c>
      <c r="B6" s="14">
        <v>43469</v>
      </c>
      <c r="C6" s="15" t="str">
        <f>VLOOKUP(A6,Base!B:C,2,0)</f>
        <v>3.1.90.11.61 - VENCIMENTOS E SALÁRIOS</v>
      </c>
      <c r="D6" s="15" t="s">
        <v>14</v>
      </c>
      <c r="E6" s="23" t="s">
        <v>15</v>
      </c>
      <c r="F6" s="24" t="s">
        <v>16</v>
      </c>
      <c r="G6" s="23"/>
      <c r="H6" s="17" t="s">
        <v>12</v>
      </c>
      <c r="I6" s="19"/>
      <c r="J6" s="20">
        <v>6305.65</v>
      </c>
      <c r="K6" s="21">
        <f t="shared" si="0"/>
        <v>-4585.1899999999969</v>
      </c>
    </row>
    <row r="7" spans="1:11" ht="12" customHeight="1" x14ac:dyDescent="0.25">
      <c r="A7" s="13">
        <v>2</v>
      </c>
      <c r="B7" s="14">
        <v>43469</v>
      </c>
      <c r="C7" s="15" t="str">
        <f>VLOOKUP(A7,Base!B:C,2,0)</f>
        <v>3.1.90.11.61 - VENCIMENTOS E SALÁRIOS</v>
      </c>
      <c r="D7" s="15" t="str">
        <f>VLOOKUP(A7,Base!B:D,3,0)</f>
        <v>NICOLE BARÃO RAFFS</v>
      </c>
      <c r="E7" s="23" t="str">
        <f>VLOOKUP($A7,Base!B:E,4,0)</f>
        <v>020.621.669-66</v>
      </c>
      <c r="F7" s="24" t="str">
        <f>VLOOKUP($A7,Base!B:F,5,0)</f>
        <v>HOLERITE</v>
      </c>
      <c r="G7" s="23"/>
      <c r="H7" s="17" t="s">
        <v>12</v>
      </c>
      <c r="I7" s="19"/>
      <c r="J7" s="20">
        <v>10172.18</v>
      </c>
      <c r="K7" s="21">
        <f t="shared" si="0"/>
        <v>-14757.369999999997</v>
      </c>
    </row>
    <row r="8" spans="1:11" ht="12" customHeight="1" x14ac:dyDescent="0.25">
      <c r="A8" s="22">
        <v>5</v>
      </c>
      <c r="B8" s="14">
        <v>43469</v>
      </c>
      <c r="C8" s="15" t="str">
        <f>VLOOKUP(A8,Base!B:C,2,0)</f>
        <v>RESGATE APLICAÇÃO</v>
      </c>
      <c r="D8" s="15" t="str">
        <f>VLOOKUP(A8,Base!B:D,3,0)</f>
        <v>PALCOPARANÁ</v>
      </c>
      <c r="E8" s="23" t="str">
        <f>VLOOKUP($A8,Base!B:E,4,0)</f>
        <v>25.298.788/0001-95</v>
      </c>
      <c r="F8" s="24">
        <f>VLOOKUP($A8,Base!B:F,5,0)</f>
        <v>0</v>
      </c>
      <c r="G8" s="23"/>
      <c r="H8" s="17" t="s">
        <v>13</v>
      </c>
      <c r="I8" s="19">
        <v>15000</v>
      </c>
      <c r="J8" s="20"/>
      <c r="K8" s="21">
        <f t="shared" si="0"/>
        <v>242.63000000000284</v>
      </c>
    </row>
    <row r="9" spans="1:11" ht="12" customHeight="1" x14ac:dyDescent="0.25">
      <c r="A9" s="22">
        <v>5</v>
      </c>
      <c r="B9" s="14">
        <v>43469</v>
      </c>
      <c r="C9" s="15" t="str">
        <f>VLOOKUP(A9,Base!B:C,2,0)</f>
        <v>RESGATE APLICAÇÃO</v>
      </c>
      <c r="D9" s="15" t="str">
        <f>VLOOKUP(A9,Base!B:D,3,0)</f>
        <v>PALCOPARANÁ</v>
      </c>
      <c r="E9" s="23" t="str">
        <f>VLOOKUP($A9,Base!B:E,4,0)</f>
        <v>25.298.788/0001-95</v>
      </c>
      <c r="F9" s="24">
        <f>VLOOKUP($A9,Base!B:F,5,0)</f>
        <v>0</v>
      </c>
      <c r="G9" s="23"/>
      <c r="H9" s="17" t="s">
        <v>13</v>
      </c>
      <c r="I9" s="19">
        <v>174.3</v>
      </c>
      <c r="J9" s="20"/>
      <c r="K9" s="21">
        <f t="shared" si="0"/>
        <v>416.93000000000285</v>
      </c>
    </row>
    <row r="10" spans="1:11" ht="12" customHeight="1" x14ac:dyDescent="0.25">
      <c r="A10" s="13">
        <v>7</v>
      </c>
      <c r="B10" s="14">
        <v>43472</v>
      </c>
      <c r="C10" s="15" t="str">
        <f>VLOOKUP(A10,Base!B:C,2,0)</f>
        <v>3.3.90.39.05 - SERVIÇOS TÉCNICOS PROFISSIONAIS</v>
      </c>
      <c r="D10" s="15" t="str">
        <f>VLOOKUP(A10,Base!B:D,3,0)</f>
        <v>SBSC CONTADORES ASSOCIADOS LTDA</v>
      </c>
      <c r="E10" s="23" t="str">
        <f>VLOOKUP($A10,Base!B:E,4,0)</f>
        <v>05.377.113/0001-24</v>
      </c>
      <c r="F10" s="24" t="str">
        <f>VLOOKUP($A10,Base!B:F,5,0)</f>
        <v>NFS-e</v>
      </c>
      <c r="G10" s="23">
        <v>714</v>
      </c>
      <c r="H10" s="17" t="s">
        <v>17</v>
      </c>
      <c r="I10" s="19"/>
      <c r="J10" s="20">
        <v>2166.66</v>
      </c>
      <c r="K10" s="21">
        <f t="shared" si="0"/>
        <v>-1749.7299999999971</v>
      </c>
    </row>
    <row r="11" spans="1:11" ht="12" customHeight="1" x14ac:dyDescent="0.25">
      <c r="A11" s="13">
        <v>8</v>
      </c>
      <c r="B11" s="14">
        <v>43472</v>
      </c>
      <c r="C11" s="15" t="str">
        <f>VLOOKUP(A11,Base!B:C,2,0)</f>
        <v>3.3.90.30.16 - MATERIAL DE EXPEDIENTE</v>
      </c>
      <c r="D11" s="25" t="s">
        <v>18</v>
      </c>
      <c r="E11" s="26" t="s">
        <v>19</v>
      </c>
      <c r="F11" s="24" t="str">
        <f>VLOOKUP($A11,Base!B:F,5,0)</f>
        <v>NF-e</v>
      </c>
      <c r="G11" s="23">
        <v>15596</v>
      </c>
      <c r="H11" s="17" t="s">
        <v>20</v>
      </c>
      <c r="I11" s="19"/>
      <c r="J11" s="20">
        <v>540</v>
      </c>
      <c r="K11" s="21">
        <f t="shared" si="0"/>
        <v>-2289.7299999999968</v>
      </c>
    </row>
    <row r="12" spans="1:11" ht="12" customHeight="1" x14ac:dyDescent="0.25">
      <c r="A12" s="13">
        <v>9</v>
      </c>
      <c r="B12" s="14">
        <v>43472</v>
      </c>
      <c r="C12" s="15" t="str">
        <f>VLOOKUP(A12,Base!B:C,2,0)</f>
        <v>3.3.90.39.12 - LOCAÇÃO DE MÁQUINAS E EQUIPAMENTOS</v>
      </c>
      <c r="D12" s="15" t="str">
        <f>VLOOKUP(A12,Base!B:D,3,0)</f>
        <v>INTERATIVA SOLUÇÕES EM INFORMATICA LTDA</v>
      </c>
      <c r="E12" s="23" t="str">
        <f>VLOOKUP($A12,Base!B:E,4,0)</f>
        <v>04.192.385/0001-97</v>
      </c>
      <c r="F12" s="24" t="str">
        <f>VLOOKUP($A12,Base!B:F,5,0)</f>
        <v>NFS-e</v>
      </c>
      <c r="G12" s="23">
        <v>6539</v>
      </c>
      <c r="H12" s="17" t="s">
        <v>21</v>
      </c>
      <c r="I12" s="19"/>
      <c r="J12" s="20">
        <v>777.4</v>
      </c>
      <c r="K12" s="21">
        <f t="shared" si="0"/>
        <v>-3067.1299999999969</v>
      </c>
    </row>
    <row r="13" spans="1:11" ht="12" customHeight="1" x14ac:dyDescent="0.25">
      <c r="A13" s="13">
        <v>10</v>
      </c>
      <c r="B13" s="14">
        <v>43472</v>
      </c>
      <c r="C13" s="15" t="str">
        <f>VLOOKUP(A13,Base!B:C,2,0)</f>
        <v>3.1.90.13.02 - FGTS</v>
      </c>
      <c r="D13" s="15" t="str">
        <f>VLOOKUP(A13,Base!B:D,3,0)</f>
        <v>CAIXA ECONÔMICA FEDERAL</v>
      </c>
      <c r="E13" s="23">
        <f>VLOOKUP($A13,Base!B:E,4,0)</f>
        <v>0</v>
      </c>
      <c r="F13" s="24" t="str">
        <f>VLOOKUP($A13,Base!B:F,5,0)</f>
        <v>GUIA GRRF</v>
      </c>
      <c r="G13" s="23"/>
      <c r="H13" s="17" t="s">
        <v>22</v>
      </c>
      <c r="I13" s="19"/>
      <c r="J13" s="20">
        <v>31464.080000000002</v>
      </c>
      <c r="K13" s="21">
        <f t="shared" si="0"/>
        <v>-34531.21</v>
      </c>
    </row>
    <row r="14" spans="1:11" ht="12" customHeight="1" x14ac:dyDescent="0.25">
      <c r="A14" s="22">
        <v>5</v>
      </c>
      <c r="B14" s="14">
        <v>43472</v>
      </c>
      <c r="C14" s="15" t="str">
        <f>VLOOKUP(A14,Base!B:C,2,0)</f>
        <v>RESGATE APLICAÇÃO</v>
      </c>
      <c r="D14" s="15" t="str">
        <f>VLOOKUP(A14,Base!B:D,3,0)</f>
        <v>PALCOPARANÁ</v>
      </c>
      <c r="E14" s="23" t="str">
        <f>VLOOKUP($A14,Base!B:E,4,0)</f>
        <v>25.298.788/0001-95</v>
      </c>
      <c r="F14" s="24">
        <f>VLOOKUP($A14,Base!B:F,5,0)</f>
        <v>0</v>
      </c>
      <c r="G14" s="23"/>
      <c r="H14" s="17" t="s">
        <v>13</v>
      </c>
      <c r="I14" s="19">
        <v>35000</v>
      </c>
      <c r="J14" s="20"/>
      <c r="K14" s="21">
        <f t="shared" si="0"/>
        <v>468.79000000000087</v>
      </c>
    </row>
    <row r="15" spans="1:11" ht="12" customHeight="1" x14ac:dyDescent="0.25">
      <c r="A15" s="22">
        <v>5</v>
      </c>
      <c r="B15" s="14">
        <v>43472</v>
      </c>
      <c r="C15" s="15" t="str">
        <f>VLOOKUP(A15,Base!B:C,2,0)</f>
        <v>RESGATE APLICAÇÃO</v>
      </c>
      <c r="D15" s="15" t="str">
        <f>VLOOKUP(A15,Base!B:D,3,0)</f>
        <v>PALCOPARANÁ</v>
      </c>
      <c r="E15" s="23" t="str">
        <f>VLOOKUP($A15,Base!B:E,4,0)</f>
        <v>25.298.788/0001-95</v>
      </c>
      <c r="F15" s="24">
        <f>VLOOKUP($A15,Base!B:F,5,0)</f>
        <v>0</v>
      </c>
      <c r="G15" s="23"/>
      <c r="H15" s="17" t="s">
        <v>13</v>
      </c>
      <c r="I15" s="19">
        <v>415.1</v>
      </c>
      <c r="J15" s="20"/>
      <c r="K15" s="21">
        <f t="shared" si="0"/>
        <v>883.8900000000009</v>
      </c>
    </row>
    <row r="16" spans="1:11" ht="12" customHeight="1" x14ac:dyDescent="0.25">
      <c r="A16" s="13">
        <v>11</v>
      </c>
      <c r="B16" s="14">
        <v>43479</v>
      </c>
      <c r="C16" s="15" t="str">
        <f>VLOOKUP(A16,Base!B:C,2,0)</f>
        <v>3.3.90.30.47 - AQUISIÇÃO DE SOFTWARE DE BASE</v>
      </c>
      <c r="D16" s="15" t="s">
        <v>23</v>
      </c>
      <c r="E16" s="23" t="s">
        <v>24</v>
      </c>
      <c r="F16" s="24" t="s">
        <v>25</v>
      </c>
      <c r="G16" s="23">
        <v>19612</v>
      </c>
      <c r="H16" s="17" t="s">
        <v>26</v>
      </c>
      <c r="I16" s="19"/>
      <c r="J16" s="20">
        <v>2600</v>
      </c>
      <c r="K16" s="21">
        <f t="shared" si="0"/>
        <v>-1716.1099999999992</v>
      </c>
    </row>
    <row r="17" spans="1:11" ht="12" customHeight="1" x14ac:dyDescent="0.25">
      <c r="A17" s="22">
        <v>5</v>
      </c>
      <c r="B17" s="14">
        <v>43479</v>
      </c>
      <c r="C17" s="15" t="str">
        <f>VLOOKUP(A17,Base!B:C,2,0)</f>
        <v>RESGATE APLICAÇÃO</v>
      </c>
      <c r="D17" s="15" t="str">
        <f>VLOOKUP(A17,Base!B:D,3,0)</f>
        <v>PALCOPARANÁ</v>
      </c>
      <c r="E17" s="23" t="str">
        <f>VLOOKUP($A17,Base!B:E,4,0)</f>
        <v>25.298.788/0001-95</v>
      </c>
      <c r="F17" s="24">
        <f>VLOOKUP($A17,Base!B:F,5,0)</f>
        <v>0</v>
      </c>
      <c r="G17" s="23"/>
      <c r="H17" s="17" t="s">
        <v>13</v>
      </c>
      <c r="I17" s="19">
        <v>2000</v>
      </c>
      <c r="J17" s="20"/>
      <c r="K17" s="21">
        <f t="shared" si="0"/>
        <v>283.89000000000078</v>
      </c>
    </row>
    <row r="18" spans="1:11" ht="12" customHeight="1" x14ac:dyDescent="0.25">
      <c r="A18" s="22">
        <v>5</v>
      </c>
      <c r="B18" s="14">
        <v>43479</v>
      </c>
      <c r="C18" s="15" t="str">
        <f>VLOOKUP(A18,Base!B:C,2,0)</f>
        <v>RESGATE APLICAÇÃO</v>
      </c>
      <c r="D18" s="15" t="str">
        <f>VLOOKUP(A18,Base!B:D,3,0)</f>
        <v>PALCOPARANÁ</v>
      </c>
      <c r="E18" s="23" t="str">
        <f>VLOOKUP($A18,Base!B:E,4,0)</f>
        <v>25.298.788/0001-95</v>
      </c>
      <c r="F18" s="24">
        <f>VLOOKUP($A18,Base!B:F,5,0)</f>
        <v>0</v>
      </c>
      <c r="G18" s="23"/>
      <c r="H18" s="17" t="s">
        <v>13</v>
      </c>
      <c r="I18" s="19">
        <v>26.08</v>
      </c>
      <c r="J18" s="20"/>
      <c r="K18" s="21">
        <f t="shared" si="0"/>
        <v>309.97000000000077</v>
      </c>
    </row>
    <row r="19" spans="1:11" ht="12" customHeight="1" x14ac:dyDescent="0.25">
      <c r="A19" s="13">
        <v>3</v>
      </c>
      <c r="B19" s="14">
        <v>43482</v>
      </c>
      <c r="C19" s="15" t="str">
        <f>VLOOKUP(A19,Base!B:C,2,0)</f>
        <v>3.1.90.46.03 - AUXÍLIO-ALIMENTAÇÃO</v>
      </c>
      <c r="D19" s="15" t="str">
        <f>VLOOKUP(A19,Base!B:D,3,0)</f>
        <v>COLABORADORES DIVERSOS</v>
      </c>
      <c r="E19" s="23">
        <f>VLOOKUP($A19,Base!B:E,4,0)</f>
        <v>0</v>
      </c>
      <c r="F19" s="24" t="str">
        <f>VLOOKUP($A19,Base!B:F,5,0)</f>
        <v>RECIBO</v>
      </c>
      <c r="G19" s="23"/>
      <c r="H19" s="17" t="s">
        <v>27</v>
      </c>
      <c r="I19" s="19"/>
      <c r="J19" s="20">
        <v>2760</v>
      </c>
      <c r="K19" s="21">
        <f t="shared" si="0"/>
        <v>-2450.0299999999993</v>
      </c>
    </row>
    <row r="20" spans="1:11" ht="12" customHeight="1" x14ac:dyDescent="0.25">
      <c r="A20" s="13">
        <v>3</v>
      </c>
      <c r="B20" s="14">
        <v>43482</v>
      </c>
      <c r="C20" s="15" t="str">
        <f>VLOOKUP(A20,Base!B:C,2,0)</f>
        <v>3.1.90.46.03 - AUXÍLIO-ALIMENTAÇÃO</v>
      </c>
      <c r="D20" s="15" t="str">
        <f>VLOOKUP(A20,Base!B:D,3,0)</f>
        <v>COLABORADORES DIVERSOS</v>
      </c>
      <c r="E20" s="23">
        <f>VLOOKUP($A20,Base!B:E,4,0)</f>
        <v>0</v>
      </c>
      <c r="F20" s="24" t="str">
        <f>VLOOKUP($A20,Base!B:F,5,0)</f>
        <v>RECIBO</v>
      </c>
      <c r="G20" s="23"/>
      <c r="H20" s="17" t="s">
        <v>28</v>
      </c>
      <c r="I20" s="19"/>
      <c r="J20" s="20">
        <v>270</v>
      </c>
      <c r="K20" s="21">
        <f t="shared" si="0"/>
        <v>-2720.0299999999993</v>
      </c>
    </row>
    <row r="21" spans="1:11" ht="12" customHeight="1" x14ac:dyDescent="0.25">
      <c r="A21" s="13">
        <v>12</v>
      </c>
      <c r="B21" s="14">
        <v>43482</v>
      </c>
      <c r="C21" s="15" t="str">
        <f>VLOOKUP(A21,Base!B:C,2,0)</f>
        <v>3.1.90.46.03 - AUXÍLIO-ALIMENTAÇÃO</v>
      </c>
      <c r="D21" s="15" t="str">
        <f>VLOOKUP(A21,Base!B:D,3,0)</f>
        <v>NICOLE BARÃO RAFFS</v>
      </c>
      <c r="E21" s="23" t="str">
        <f>VLOOKUP($A21,Base!B:E,4,0)</f>
        <v>020.621.669-66</v>
      </c>
      <c r="F21" s="24" t="str">
        <f>VLOOKUP($A21,Base!B:F,5,0)</f>
        <v>RECIBO</v>
      </c>
      <c r="G21" s="23"/>
      <c r="H21" s="17" t="s">
        <v>29</v>
      </c>
      <c r="I21" s="19"/>
      <c r="J21" s="20">
        <v>330</v>
      </c>
      <c r="K21" s="21">
        <f t="shared" si="0"/>
        <v>-3050.0299999999993</v>
      </c>
    </row>
    <row r="22" spans="1:11" ht="12" customHeight="1" x14ac:dyDescent="0.25">
      <c r="A22" s="13">
        <v>13</v>
      </c>
      <c r="B22" s="14">
        <v>43482</v>
      </c>
      <c r="C22" s="15" t="str">
        <f>VLOOKUP(A22,Base!B:C,2,0)</f>
        <v>3.1.90.46.03 - AUXÍLIO-ALIMENTAÇÃO</v>
      </c>
      <c r="D22" s="15" t="s">
        <v>14</v>
      </c>
      <c r="E22" s="23" t="s">
        <v>15</v>
      </c>
      <c r="F22" s="24" t="str">
        <f>VLOOKUP($A22,Base!B:F,5,0)</f>
        <v>RECIBO</v>
      </c>
      <c r="G22" s="23"/>
      <c r="H22" s="17" t="s">
        <v>29</v>
      </c>
      <c r="I22" s="19"/>
      <c r="J22" s="20">
        <v>330</v>
      </c>
      <c r="K22" s="21">
        <f t="shared" si="0"/>
        <v>-3380.0299999999993</v>
      </c>
    </row>
    <row r="23" spans="1:11" ht="12" customHeight="1" x14ac:dyDescent="0.25">
      <c r="A23" s="13">
        <v>14</v>
      </c>
      <c r="B23" s="14">
        <v>43482</v>
      </c>
      <c r="C23" s="15" t="str">
        <f>VLOOKUP(A23,Base!B:C,2,0)</f>
        <v>3.3.90.39.39 - ENCARGOS FINANCEIROS INDEDUTÍVEIS</v>
      </c>
      <c r="D23" s="15" t="str">
        <f>VLOOKUP(A23,Base!B:D,3,0)</f>
        <v>BANCO DO BRASIL</v>
      </c>
      <c r="E23" s="23">
        <f>VLOOKUP($A23,Base!B:E,4,0)</f>
        <v>191</v>
      </c>
      <c r="F23" s="24" t="str">
        <f>VLOOKUP($A23,Base!B:F,5,0)</f>
        <v>AVISO DE DÉBITO</v>
      </c>
      <c r="G23" s="23"/>
      <c r="H23" s="17" t="s">
        <v>30</v>
      </c>
      <c r="I23" s="19"/>
      <c r="J23" s="20">
        <v>10.15</v>
      </c>
      <c r="K23" s="21">
        <f t="shared" si="0"/>
        <v>-3390.1799999999994</v>
      </c>
    </row>
    <row r="24" spans="1:11" ht="12" customHeight="1" x14ac:dyDescent="0.25">
      <c r="A24" s="22">
        <v>5</v>
      </c>
      <c r="B24" s="14">
        <v>43482</v>
      </c>
      <c r="C24" s="15" t="str">
        <f>VLOOKUP(A24,Base!B:C,2,0)</f>
        <v>RESGATE APLICAÇÃO</v>
      </c>
      <c r="D24" s="15" t="str">
        <f>VLOOKUP(A24,Base!B:D,3,0)</f>
        <v>PALCOPARANÁ</v>
      </c>
      <c r="E24" s="23" t="str">
        <f>VLOOKUP($A24,Base!B:E,4,0)</f>
        <v>25.298.788/0001-95</v>
      </c>
      <c r="F24" s="24">
        <f>VLOOKUP($A24,Base!B:F,5,0)</f>
        <v>0</v>
      </c>
      <c r="G24" s="23"/>
      <c r="H24" s="17" t="s">
        <v>13</v>
      </c>
      <c r="I24" s="19">
        <v>3500</v>
      </c>
      <c r="J24" s="20"/>
      <c r="K24" s="21">
        <f t="shared" si="0"/>
        <v>109.82000000000062</v>
      </c>
    </row>
    <row r="25" spans="1:11" ht="12" customHeight="1" x14ac:dyDescent="0.25">
      <c r="A25" s="22">
        <v>5</v>
      </c>
      <c r="B25" s="14">
        <v>43482</v>
      </c>
      <c r="C25" s="15" t="str">
        <f>VLOOKUP(A25,Base!B:C,2,0)</f>
        <v>RESGATE APLICAÇÃO</v>
      </c>
      <c r="D25" s="15" t="str">
        <f>VLOOKUP(A25,Base!B:D,3,0)</f>
        <v>PALCOPARANÁ</v>
      </c>
      <c r="E25" s="23" t="str">
        <f>VLOOKUP($A25,Base!B:E,4,0)</f>
        <v>25.298.788/0001-95</v>
      </c>
      <c r="F25" s="24">
        <f>VLOOKUP($A25,Base!B:F,5,0)</f>
        <v>0</v>
      </c>
      <c r="G25" s="23"/>
      <c r="H25" s="17" t="s">
        <v>13</v>
      </c>
      <c r="I25" s="19">
        <v>48.09</v>
      </c>
      <c r="J25" s="20"/>
      <c r="K25" s="21">
        <f t="shared" si="0"/>
        <v>157.91000000000062</v>
      </c>
    </row>
    <row r="26" spans="1:11" ht="12" customHeight="1" x14ac:dyDescent="0.25">
      <c r="A26" s="13">
        <v>15</v>
      </c>
      <c r="B26" s="14">
        <v>43483</v>
      </c>
      <c r="C26" s="15" t="str">
        <f>VLOOKUP(A26,Base!B:C,2,0)</f>
        <v>3.1.90.11.61 - VENCIMENTOS E SALÁRIOS</v>
      </c>
      <c r="D26" s="15" t="str">
        <f>VLOOKUP(A26,Base!B:D,3,0)</f>
        <v>MINISTÉRIO DA FAZENDA - UNIÃO</v>
      </c>
      <c r="E26" s="23">
        <f>VLOOKUP($A26,Base!B:E,4,0)</f>
        <v>0</v>
      </c>
      <c r="F26" s="24" t="str">
        <f>VLOOKUP($A26,Base!B:F,5,0)</f>
        <v>DARF IRRF</v>
      </c>
      <c r="G26" s="23"/>
      <c r="H26" s="17" t="s">
        <v>31</v>
      </c>
      <c r="I26" s="19"/>
      <c r="J26" s="20">
        <v>59564.08</v>
      </c>
      <c r="K26" s="21">
        <f t="shared" si="0"/>
        <v>-59406.17</v>
      </c>
    </row>
    <row r="27" spans="1:11" ht="12" customHeight="1" x14ac:dyDescent="0.25">
      <c r="A27" s="13">
        <v>16</v>
      </c>
      <c r="B27" s="14">
        <v>43483</v>
      </c>
      <c r="C27" s="15" t="str">
        <f>VLOOKUP(A27,Base!B:C,2,0)</f>
        <v>3.1.90.13.01- CONTRIBUIÇÕES PREVIDENCIÁRIAS - INSS</v>
      </c>
      <c r="D27" s="15" t="str">
        <f>VLOOKUP(A27,Base!B:D,3,0)</f>
        <v>FUNDO DO REGIME GERAL DE PREVIDENCIA SOCIAL</v>
      </c>
      <c r="E27" s="23" t="str">
        <f>VLOOKUP($A27,Base!B:E,4,0)</f>
        <v>16.727.230/0001-97</v>
      </c>
      <c r="F27" s="24" t="str">
        <f>VLOOKUP($A27,Base!B:F,5,0)</f>
        <v>GPS</v>
      </c>
      <c r="G27" s="23"/>
      <c r="H27" s="17" t="s">
        <v>32</v>
      </c>
      <c r="I27" s="19"/>
      <c r="J27" s="20">
        <v>101807.1</v>
      </c>
      <c r="K27" s="21">
        <f t="shared" si="0"/>
        <v>-161213.27000000002</v>
      </c>
    </row>
    <row r="28" spans="1:11" ht="12" customHeight="1" x14ac:dyDescent="0.25">
      <c r="A28" s="22">
        <v>5</v>
      </c>
      <c r="B28" s="14">
        <v>43483</v>
      </c>
      <c r="C28" s="15" t="str">
        <f>VLOOKUP(A28,Base!B:C,2,0)</f>
        <v>RESGATE APLICAÇÃO</v>
      </c>
      <c r="D28" s="15" t="str">
        <f>VLOOKUP(A28,Base!B:D,3,0)</f>
        <v>PALCOPARANÁ</v>
      </c>
      <c r="E28" s="23" t="str">
        <f>VLOOKUP($A28,Base!B:E,4,0)</f>
        <v>25.298.788/0001-95</v>
      </c>
      <c r="F28" s="24">
        <f>VLOOKUP($A28,Base!B:F,5,0)</f>
        <v>0</v>
      </c>
      <c r="G28" s="23"/>
      <c r="H28" s="17" t="s">
        <v>13</v>
      </c>
      <c r="I28" s="19">
        <v>161500</v>
      </c>
      <c r="J28" s="20"/>
      <c r="K28" s="21">
        <f t="shared" si="0"/>
        <v>286.72999999998137</v>
      </c>
    </row>
    <row r="29" spans="1:11" ht="12" customHeight="1" x14ac:dyDescent="0.25">
      <c r="A29" s="22">
        <v>5</v>
      </c>
      <c r="B29" s="14">
        <v>43483</v>
      </c>
      <c r="C29" s="15" t="str">
        <f>VLOOKUP(A29,Base!B:C,2,0)</f>
        <v>RESGATE APLICAÇÃO</v>
      </c>
      <c r="D29" s="15" t="str">
        <f>VLOOKUP(A29,Base!B:D,3,0)</f>
        <v>PALCOPARANÁ</v>
      </c>
      <c r="E29" s="23" t="str">
        <f>VLOOKUP($A29,Base!B:E,4,0)</f>
        <v>25.298.788/0001-95</v>
      </c>
      <c r="F29" s="24">
        <f>VLOOKUP($A29,Base!B:F,5,0)</f>
        <v>0</v>
      </c>
      <c r="G29" s="23"/>
      <c r="H29" s="17" t="s">
        <v>13</v>
      </c>
      <c r="I29" s="19">
        <v>2257.77</v>
      </c>
      <c r="J29" s="20"/>
      <c r="K29" s="21">
        <f t="shared" si="0"/>
        <v>2544.4999999999814</v>
      </c>
    </row>
    <row r="30" spans="1:11" ht="12" customHeight="1" x14ac:dyDescent="0.25">
      <c r="A30" s="13">
        <v>13</v>
      </c>
      <c r="B30" s="14">
        <v>43486</v>
      </c>
      <c r="C30" s="15" t="str">
        <f>VLOOKUP(A30,Base!B:C,2,0)</f>
        <v>3.1.90.46.03 - AUXÍLIO-ALIMENTAÇÃO</v>
      </c>
      <c r="D30" s="15" t="s">
        <v>33</v>
      </c>
      <c r="E30" s="23" t="s">
        <v>34</v>
      </c>
      <c r="F30" s="24" t="str">
        <f>VLOOKUP($A30,Base!B:F,5,0)</f>
        <v>RECIBO</v>
      </c>
      <c r="G30" s="23"/>
      <c r="H30" s="17" t="s">
        <v>35</v>
      </c>
      <c r="I30" s="19"/>
      <c r="J30" s="20">
        <v>135</v>
      </c>
      <c r="K30" s="21">
        <f t="shared" si="0"/>
        <v>2409.4999999999814</v>
      </c>
    </row>
    <row r="31" spans="1:11" ht="12" customHeight="1" x14ac:dyDescent="0.25">
      <c r="A31" s="13">
        <v>13</v>
      </c>
      <c r="B31" s="14">
        <v>43486</v>
      </c>
      <c r="C31" s="15" t="str">
        <f>VLOOKUP(A31,Base!B:C,2,0)</f>
        <v>3.1.90.46.03 - AUXÍLIO-ALIMENTAÇÃO</v>
      </c>
      <c r="D31" s="15" t="s">
        <v>36</v>
      </c>
      <c r="E31" s="23" t="s">
        <v>37</v>
      </c>
      <c r="F31" s="24" t="str">
        <f>VLOOKUP($A31,Base!B:F,5,0)</f>
        <v>RECIBO</v>
      </c>
      <c r="G31" s="23"/>
      <c r="H31" s="17" t="s">
        <v>35</v>
      </c>
      <c r="I31" s="19"/>
      <c r="J31" s="20">
        <v>135</v>
      </c>
      <c r="K31" s="21">
        <f t="shared" si="0"/>
        <v>2274.4999999999814</v>
      </c>
    </row>
    <row r="32" spans="1:11" ht="12" customHeight="1" x14ac:dyDescent="0.25">
      <c r="A32" s="13">
        <v>14</v>
      </c>
      <c r="B32" s="14">
        <v>43486</v>
      </c>
      <c r="C32" s="15" t="str">
        <f>VLOOKUP(A32,Base!B:C,2,0)</f>
        <v>3.3.90.39.39 - ENCARGOS FINANCEIROS INDEDUTÍVEIS</v>
      </c>
      <c r="D32" s="15" t="str">
        <f>VLOOKUP(A32,Base!B:D,3,0)</f>
        <v>BANCO DO BRASIL</v>
      </c>
      <c r="E32" s="23">
        <f>VLOOKUP($A32,Base!B:E,4,0)</f>
        <v>191</v>
      </c>
      <c r="F32" s="24" t="str">
        <f>VLOOKUP($A32,Base!B:F,5,0)</f>
        <v>AVISO DE DÉBITO</v>
      </c>
      <c r="G32" s="23"/>
      <c r="H32" s="17" t="s">
        <v>38</v>
      </c>
      <c r="I32" s="19"/>
      <c r="J32" s="20">
        <v>10.15</v>
      </c>
      <c r="K32" s="21">
        <f t="shared" si="0"/>
        <v>2264.3499999999813</v>
      </c>
    </row>
    <row r="33" spans="1:11" ht="12" customHeight="1" x14ac:dyDescent="0.25">
      <c r="A33" s="13">
        <v>14</v>
      </c>
      <c r="B33" s="14">
        <v>43486</v>
      </c>
      <c r="C33" s="15" t="str">
        <f>VLOOKUP(A33,Base!B:C,2,0)</f>
        <v>3.3.90.39.39 - ENCARGOS FINANCEIROS INDEDUTÍVEIS</v>
      </c>
      <c r="D33" s="15" t="str">
        <f>VLOOKUP(A33,Base!B:D,3,0)</f>
        <v>BANCO DO BRASIL</v>
      </c>
      <c r="E33" s="23">
        <f>VLOOKUP($A33,Base!B:E,4,0)</f>
        <v>191</v>
      </c>
      <c r="F33" s="24" t="str">
        <f>VLOOKUP($A33,Base!B:F,5,0)</f>
        <v>AVISO DE DÉBITO</v>
      </c>
      <c r="G33" s="23"/>
      <c r="H33" s="17" t="s">
        <v>38</v>
      </c>
      <c r="I33" s="19"/>
      <c r="J33" s="20">
        <v>10.15</v>
      </c>
      <c r="K33" s="21">
        <f t="shared" si="0"/>
        <v>2254.1999999999812</v>
      </c>
    </row>
    <row r="34" spans="1:11" ht="12" customHeight="1" x14ac:dyDescent="0.25">
      <c r="A34" s="13">
        <v>17</v>
      </c>
      <c r="B34" s="14">
        <v>43487</v>
      </c>
      <c r="C34" s="15" t="str">
        <f>VLOOKUP(A34,Base!B:C,2,0)</f>
        <v>3.3.90.39.05 - SERVIÇOS TÉCNICOS PROFISSIONAIS</v>
      </c>
      <c r="D34" s="15" t="s">
        <v>39</v>
      </c>
      <c r="E34" s="23" t="s">
        <v>40</v>
      </c>
      <c r="F34" s="24" t="s">
        <v>25</v>
      </c>
      <c r="G34" s="23">
        <v>105</v>
      </c>
      <c r="H34" s="17" t="s">
        <v>41</v>
      </c>
      <c r="I34" s="19"/>
      <c r="J34" s="20">
        <v>10662</v>
      </c>
      <c r="K34" s="21">
        <f t="shared" si="0"/>
        <v>-8407.8000000000193</v>
      </c>
    </row>
    <row r="35" spans="1:11" ht="12" customHeight="1" x14ac:dyDescent="0.25">
      <c r="A35" s="13">
        <v>18</v>
      </c>
      <c r="B35" s="14">
        <v>43487</v>
      </c>
      <c r="C35" s="15" t="str">
        <f>VLOOKUP(A35,Base!B:C,2,0)</f>
        <v>3.3.90.47.20 - ISS - IMPOSTO S/E SERV. DE QUALQUER NATUREZA A RECOLHER</v>
      </c>
      <c r="D35" s="15" t="str">
        <f>VLOOKUP(A35,Base!B:D,3,0)</f>
        <v>MUNICIPIO DE CURITIBA</v>
      </c>
      <c r="E35" s="23">
        <f>VLOOKUP($A35,Base!B:E,4,0)</f>
        <v>0</v>
      </c>
      <c r="F35" s="24" t="str">
        <f>VLOOKUP($A35,Base!B:F,5,0)</f>
        <v>DAM</v>
      </c>
      <c r="G35" s="23"/>
      <c r="H35" s="17" t="s">
        <v>42</v>
      </c>
      <c r="I35" s="19"/>
      <c r="J35" s="20">
        <v>609.96</v>
      </c>
      <c r="K35" s="21">
        <f t="shared" si="0"/>
        <v>-9017.7600000000202</v>
      </c>
    </row>
    <row r="36" spans="1:11" ht="12" customHeight="1" x14ac:dyDescent="0.25">
      <c r="A36" s="13">
        <v>4</v>
      </c>
      <c r="B36" s="14">
        <v>43487</v>
      </c>
      <c r="C36" s="15" t="str">
        <f>VLOOKUP(A36,Base!B:C,2,0)</f>
        <v>3.3.90.39.47 - SERVIÇO DE COMUNICAÇÃO EM GERAL</v>
      </c>
      <c r="D36" s="15" t="str">
        <f>VLOOKUP(A36,Base!B:D,3,0)</f>
        <v>DPTO DE IMPRENSA OFICIAL ESTADO DO PARANÁ</v>
      </c>
      <c r="E36" s="23" t="str">
        <f>VLOOKUP($A36,Base!B:E,4,0)</f>
        <v>76.437.383/0001-21</v>
      </c>
      <c r="F36" s="24" t="str">
        <f>VLOOKUP($A36,Base!B:F,5,0)</f>
        <v>NOTA FISCAL</v>
      </c>
      <c r="G36" s="23">
        <v>2019258908</v>
      </c>
      <c r="H36" s="17" t="s">
        <v>43</v>
      </c>
      <c r="I36" s="19"/>
      <c r="J36" s="20">
        <v>150</v>
      </c>
      <c r="K36" s="21">
        <f t="shared" si="0"/>
        <v>-9167.7600000000202</v>
      </c>
    </row>
    <row r="37" spans="1:11" ht="12" customHeight="1" x14ac:dyDescent="0.25">
      <c r="A37" s="22">
        <v>19</v>
      </c>
      <c r="B37" s="14">
        <v>43487</v>
      </c>
      <c r="C37" s="15" t="str">
        <f>VLOOKUP(A37,Base!B:C,2,0)</f>
        <v>CRÉDITO</v>
      </c>
      <c r="D37" s="15" t="str">
        <f>VLOOKUP(A37,Base!B:D,3,0)</f>
        <v>PALCOPARANÁ</v>
      </c>
      <c r="E37" s="23" t="str">
        <f>VLOOKUP($A37,Base!B:E,4,0)</f>
        <v>25.298.788/0001-95</v>
      </c>
      <c r="F37" s="24">
        <f>VLOOKUP($A37,Base!B:F,5,0)</f>
        <v>0</v>
      </c>
      <c r="G37" s="23"/>
      <c r="H37" s="17" t="s">
        <v>44</v>
      </c>
      <c r="I37" s="19">
        <v>14.82</v>
      </c>
      <c r="J37" s="20"/>
      <c r="K37" s="21">
        <f t="shared" si="0"/>
        <v>-9152.9400000000205</v>
      </c>
    </row>
    <row r="38" spans="1:11" ht="12" customHeight="1" x14ac:dyDescent="0.25">
      <c r="A38" s="13">
        <v>20</v>
      </c>
      <c r="B38" s="14">
        <v>43487</v>
      </c>
      <c r="C38" s="15" t="str">
        <f>VLOOKUP(A38,Base!B:C,2,0)</f>
        <v>3.1.90.47.01 - PIS/PASEP</v>
      </c>
      <c r="D38" s="15" t="str">
        <f>VLOOKUP(A38,Base!B:D,3,0)</f>
        <v>MINISTÉRIO DA FAZENDA - UNIÃO</v>
      </c>
      <c r="E38" s="23" t="str">
        <f>VLOOKUP($A38,Base!B:E,4,0)</f>
        <v>25.298.788/0001-95 -8301</v>
      </c>
      <c r="F38" s="24" t="str">
        <f>VLOOKUP($A38,Base!B:F,5,0)</f>
        <v>DARF PIS</v>
      </c>
      <c r="G38" s="23"/>
      <c r="H38" s="17" t="s">
        <v>45</v>
      </c>
      <c r="I38" s="19"/>
      <c r="J38" s="20">
        <v>181.18</v>
      </c>
      <c r="K38" s="21">
        <f t="shared" si="0"/>
        <v>-9334.1200000000208</v>
      </c>
    </row>
    <row r="39" spans="1:11" ht="12" customHeight="1" x14ac:dyDescent="0.25">
      <c r="A39" s="13">
        <v>21</v>
      </c>
      <c r="B39" s="14">
        <v>43487</v>
      </c>
      <c r="C39" s="15" t="str">
        <f>VLOOKUP(A39,Base!B:C,2,0)</f>
        <v>3.1.90.47.11 - IRPJ - IMPOSTO DE RENDA PESSOA JURIDICA A RECOLHER</v>
      </c>
      <c r="D39" s="15" t="str">
        <f>VLOOKUP(A39,Base!B:D,3,0)</f>
        <v>MINISTÉRIO DA FAZENDA - UNIÃO</v>
      </c>
      <c r="E39" s="23">
        <f>VLOOKUP($A39,Base!B:E,4,0)</f>
        <v>0</v>
      </c>
      <c r="F39" s="24" t="str">
        <f>VLOOKUP($A39,Base!B:F,5,0)</f>
        <v>DARF</v>
      </c>
      <c r="G39" s="23"/>
      <c r="H39" s="17" t="s">
        <v>46</v>
      </c>
      <c r="I39" s="19"/>
      <c r="J39" s="20">
        <v>561.67999999999995</v>
      </c>
      <c r="K39" s="21">
        <f t="shared" si="0"/>
        <v>-9895.8000000000211</v>
      </c>
    </row>
    <row r="40" spans="1:11" ht="12" customHeight="1" x14ac:dyDescent="0.25">
      <c r="A40" s="13">
        <v>22</v>
      </c>
      <c r="B40" s="14">
        <v>43487</v>
      </c>
      <c r="C40" s="15" t="str">
        <f>VLOOKUP(A40,Base!B:C,2,0)</f>
        <v>3.3.90.39.35 - MULTAS DEDUTIVAS</v>
      </c>
      <c r="D40" s="15" t="str">
        <f>VLOOKUP(A40,Base!B:D,3,0)</f>
        <v>MINISTÉRIO DA FAZENDA - UNIÃO</v>
      </c>
      <c r="E40" s="23">
        <f>VLOOKUP($A40,Base!B:E,4,0)</f>
        <v>0</v>
      </c>
      <c r="F40" s="24" t="str">
        <f>VLOOKUP($A40,Base!B:F,5,0)</f>
        <v>DARF</v>
      </c>
      <c r="G40" s="23"/>
      <c r="H40" s="17" t="s">
        <v>47</v>
      </c>
      <c r="I40" s="19"/>
      <c r="J40" s="20">
        <v>250</v>
      </c>
      <c r="K40" s="21">
        <f t="shared" si="0"/>
        <v>-10145.800000000021</v>
      </c>
    </row>
    <row r="41" spans="1:11" ht="12" customHeight="1" x14ac:dyDescent="0.25">
      <c r="A41" s="22">
        <v>5</v>
      </c>
      <c r="B41" s="14">
        <v>43487</v>
      </c>
      <c r="C41" s="15" t="str">
        <f>VLOOKUP(A41,Base!B:C,2,0)</f>
        <v>RESGATE APLICAÇÃO</v>
      </c>
      <c r="D41" s="15" t="str">
        <f>VLOOKUP(A41,Base!B:D,3,0)</f>
        <v>PALCOPARANÁ</v>
      </c>
      <c r="E41" s="23" t="str">
        <f>VLOOKUP($A41,Base!B:E,4,0)</f>
        <v>25.298.788/0001-95</v>
      </c>
      <c r="F41" s="24">
        <f>VLOOKUP($A41,Base!B:F,5,0)</f>
        <v>0</v>
      </c>
      <c r="G41" s="23"/>
      <c r="H41" s="17" t="s">
        <v>13</v>
      </c>
      <c r="I41" s="19">
        <v>10500</v>
      </c>
      <c r="J41" s="20"/>
      <c r="K41" s="21">
        <f t="shared" si="0"/>
        <v>354.1999999999789</v>
      </c>
    </row>
    <row r="42" spans="1:11" ht="12" customHeight="1" x14ac:dyDescent="0.25">
      <c r="A42" s="22">
        <v>5</v>
      </c>
      <c r="B42" s="14">
        <v>43487</v>
      </c>
      <c r="C42" s="15" t="str">
        <f>VLOOKUP(A42,Base!B:C,2,0)</f>
        <v>RESGATE APLICAÇÃO</v>
      </c>
      <c r="D42" s="15" t="str">
        <f>VLOOKUP(A42,Base!B:D,3,0)</f>
        <v>PALCOPARANÁ</v>
      </c>
      <c r="E42" s="23" t="str">
        <f>VLOOKUP($A42,Base!B:E,4,0)</f>
        <v>25.298.788/0001-95</v>
      </c>
      <c r="F42" s="24">
        <f>VLOOKUP($A42,Base!B:F,5,0)</f>
        <v>0</v>
      </c>
      <c r="G42" s="23"/>
      <c r="H42" s="17" t="s">
        <v>13</v>
      </c>
      <c r="I42" s="19">
        <v>151.62</v>
      </c>
      <c r="J42" s="20"/>
      <c r="K42" s="21">
        <f t="shared" si="0"/>
        <v>505.8199999999789</v>
      </c>
    </row>
    <row r="43" spans="1:11" ht="12" customHeight="1" x14ac:dyDescent="0.25">
      <c r="A43" s="22">
        <v>19</v>
      </c>
      <c r="B43" s="14">
        <v>43488</v>
      </c>
      <c r="C43" s="15" t="str">
        <f>VLOOKUP(A43,Base!B:C,2,0)</f>
        <v>CRÉDITO</v>
      </c>
      <c r="D43" s="15" t="str">
        <f>VLOOKUP(A43,Base!B:D,3,0)</f>
        <v>PALCOPARANÁ</v>
      </c>
      <c r="E43" s="23" t="str">
        <f>VLOOKUP($A43,Base!B:E,4,0)</f>
        <v>25.298.788/0001-95</v>
      </c>
      <c r="F43" s="24">
        <f>VLOOKUP($A43,Base!B:F,5,0)</f>
        <v>0</v>
      </c>
      <c r="G43" s="23"/>
      <c r="H43" s="17" t="s">
        <v>48</v>
      </c>
      <c r="I43" s="19">
        <v>250</v>
      </c>
      <c r="J43" s="20"/>
      <c r="K43" s="21">
        <f t="shared" si="0"/>
        <v>755.8199999999789</v>
      </c>
    </row>
    <row r="44" spans="1:11" ht="12" customHeight="1" x14ac:dyDescent="0.25">
      <c r="A44" s="13">
        <v>20</v>
      </c>
      <c r="B44" s="14">
        <v>43490</v>
      </c>
      <c r="C44" s="15" t="str">
        <f>VLOOKUP(A44,Base!B:C,2,0)</f>
        <v>3.1.90.47.01 - PIS/PASEP</v>
      </c>
      <c r="D44" s="15" t="str">
        <f>VLOOKUP(A44,Base!B:D,3,0)</f>
        <v>MINISTÉRIO DA FAZENDA - UNIÃO</v>
      </c>
      <c r="E44" s="23" t="str">
        <f>VLOOKUP($A44,Base!B:E,4,0)</f>
        <v>25.298.788/0001-95 -8301</v>
      </c>
      <c r="F44" s="24" t="str">
        <f>VLOOKUP($A44,Base!B:F,5,0)</f>
        <v>DARF PIS</v>
      </c>
      <c r="G44" s="23"/>
      <c r="H44" s="17" t="s">
        <v>49</v>
      </c>
      <c r="I44" s="19"/>
      <c r="J44" s="20">
        <v>3933.01</v>
      </c>
      <c r="K44" s="21">
        <f t="shared" si="0"/>
        <v>-3177.1900000000214</v>
      </c>
    </row>
    <row r="45" spans="1:11" ht="12" customHeight="1" x14ac:dyDescent="0.25">
      <c r="A45" s="22">
        <v>5</v>
      </c>
      <c r="B45" s="14">
        <v>43490</v>
      </c>
      <c r="C45" s="15" t="str">
        <f>VLOOKUP(A45,Base!B:C,2,0)</f>
        <v>RESGATE APLICAÇÃO</v>
      </c>
      <c r="D45" s="15" t="str">
        <f>VLOOKUP(A45,Base!B:D,3,0)</f>
        <v>PALCOPARANÁ</v>
      </c>
      <c r="E45" s="23" t="str">
        <f>VLOOKUP($A45,Base!B:E,4,0)</f>
        <v>25.298.788/0001-95</v>
      </c>
      <c r="F45" s="24">
        <f>VLOOKUP($A45,Base!B:F,5,0)</f>
        <v>0</v>
      </c>
      <c r="G45" s="23"/>
      <c r="H45" s="17" t="s">
        <v>13</v>
      </c>
      <c r="I45" s="19">
        <v>3500</v>
      </c>
      <c r="J45" s="20"/>
      <c r="K45" s="21">
        <f t="shared" si="0"/>
        <v>322.80999999997857</v>
      </c>
    </row>
    <row r="46" spans="1:11" ht="12" customHeight="1" x14ac:dyDescent="0.25">
      <c r="A46" s="22">
        <v>5</v>
      </c>
      <c r="B46" s="14">
        <v>43490</v>
      </c>
      <c r="C46" s="15" t="str">
        <f>VLOOKUP(A46,Base!B:C,2,0)</f>
        <v>RESGATE APLICAÇÃO</v>
      </c>
      <c r="D46" s="15" t="str">
        <f>VLOOKUP(A46,Base!B:D,3,0)</f>
        <v>PALCOPARANÁ</v>
      </c>
      <c r="E46" s="23" t="str">
        <f>VLOOKUP($A46,Base!B:E,4,0)</f>
        <v>25.298.788/0001-95</v>
      </c>
      <c r="F46" s="24">
        <f>VLOOKUP($A46,Base!B:F,5,0)</f>
        <v>0</v>
      </c>
      <c r="G46" s="23"/>
      <c r="H46" s="17" t="s">
        <v>13</v>
      </c>
      <c r="I46" s="19">
        <v>52.99</v>
      </c>
      <c r="J46" s="20"/>
      <c r="K46" s="21">
        <f t="shared" si="0"/>
        <v>375.79999999997858</v>
      </c>
    </row>
    <row r="47" spans="1:11" ht="12" customHeight="1" x14ac:dyDescent="0.25">
      <c r="A47" s="13">
        <v>14</v>
      </c>
      <c r="B47" s="14">
        <v>43495</v>
      </c>
      <c r="C47" s="15" t="str">
        <f>VLOOKUP(A47,Base!B:C,2,0)</f>
        <v>3.3.90.39.39 - ENCARGOS FINANCEIROS INDEDUTÍVEIS</v>
      </c>
      <c r="D47" s="15" t="str">
        <f>VLOOKUP(A47,Base!B:D,3,0)</f>
        <v>BANCO DO BRASIL</v>
      </c>
      <c r="E47" s="23">
        <f>VLOOKUP($A47,Base!B:E,4,0)</f>
        <v>191</v>
      </c>
      <c r="F47" s="24" t="str">
        <f>VLOOKUP($A47,Base!B:F,5,0)</f>
        <v>AVISO DE DÉBITO</v>
      </c>
      <c r="G47" s="23"/>
      <c r="H47" s="17" t="s">
        <v>50</v>
      </c>
      <c r="I47" s="19"/>
      <c r="J47" s="20">
        <v>11.4</v>
      </c>
      <c r="K47" s="21">
        <f t="shared" si="0"/>
        <v>364.3999999999786</v>
      </c>
    </row>
    <row r="48" spans="1:11" ht="12" customHeight="1" x14ac:dyDescent="0.25">
      <c r="A48" s="13">
        <v>4</v>
      </c>
      <c r="B48" s="14">
        <v>43497</v>
      </c>
      <c r="C48" s="15" t="str">
        <f>VLOOKUP(A48,Base!B:C,2,0)</f>
        <v>3.3.90.39.47 - SERVIÇO DE COMUNICAÇÃO EM GERAL</v>
      </c>
      <c r="D48" s="15" t="str">
        <f>VLOOKUP(A48,Base!B:D,3,0)</f>
        <v>DPTO DE IMPRENSA OFICIAL ESTADO DO PARANÁ</v>
      </c>
      <c r="E48" s="23" t="str">
        <f>VLOOKUP($A48,Base!B:E,4,0)</f>
        <v>76.437.383/0001-21</v>
      </c>
      <c r="F48" s="24" t="str">
        <f>VLOOKUP($A48,Base!B:F,5,0)</f>
        <v>NOTA FISCAL</v>
      </c>
      <c r="G48" s="23">
        <v>2019259765</v>
      </c>
      <c r="H48" s="17" t="s">
        <v>51</v>
      </c>
      <c r="I48" s="19"/>
      <c r="J48" s="20">
        <v>180</v>
      </c>
      <c r="K48" s="21">
        <f t="shared" si="0"/>
        <v>184.3999999999786</v>
      </c>
    </row>
    <row r="49" spans="1:11" ht="12" customHeight="1" x14ac:dyDescent="0.25">
      <c r="A49" s="13">
        <v>1</v>
      </c>
      <c r="B49" s="14">
        <v>43497</v>
      </c>
      <c r="C49" s="15" t="str">
        <f>VLOOKUP(A49,Base!B:C,2,0)</f>
        <v>3.1.90.11.61 - VENCIMENTOS E SALÁRIOS</v>
      </c>
      <c r="D49" s="15" t="str">
        <f>VLOOKUP(A49,Base!B:D,3,0)</f>
        <v>COLABORADORES DIVERSOS</v>
      </c>
      <c r="E49" s="23">
        <f>VLOOKUP($A49,Base!B:E,4,0)</f>
        <v>0</v>
      </c>
      <c r="F49" s="24" t="str">
        <f>VLOOKUP($A49,Base!B:F,5,0)</f>
        <v>HOLERITE</v>
      </c>
      <c r="G49" s="23"/>
      <c r="H49" s="17" t="s">
        <v>52</v>
      </c>
      <c r="I49" s="19"/>
      <c r="J49" s="20">
        <v>92370.75</v>
      </c>
      <c r="K49" s="21">
        <f t="shared" si="0"/>
        <v>-92186.35000000002</v>
      </c>
    </row>
    <row r="50" spans="1:11" ht="12" customHeight="1" x14ac:dyDescent="0.25">
      <c r="A50" s="13">
        <v>2</v>
      </c>
      <c r="B50" s="14">
        <v>43497</v>
      </c>
      <c r="C50" s="15" t="str">
        <f>VLOOKUP(A50,Base!B:C,2,0)</f>
        <v>3.1.90.11.61 - VENCIMENTOS E SALÁRIOS</v>
      </c>
      <c r="D50" s="15" t="str">
        <f>VLOOKUP(A50,Base!B:D,3,0)</f>
        <v>NICOLE BARÃO RAFFS</v>
      </c>
      <c r="E50" s="23" t="str">
        <f>VLOOKUP($A50,Base!B:E,4,0)</f>
        <v>020.621.669-66</v>
      </c>
      <c r="F50" s="24" t="str">
        <f>VLOOKUP($A50,Base!B:F,5,0)</f>
        <v>HOLERITE</v>
      </c>
      <c r="G50" s="23"/>
      <c r="H50" s="27" t="s">
        <v>53</v>
      </c>
      <c r="I50" s="19"/>
      <c r="J50" s="20">
        <v>10146.24</v>
      </c>
      <c r="K50" s="21">
        <f t="shared" si="0"/>
        <v>-102332.59000000003</v>
      </c>
    </row>
    <row r="51" spans="1:11" ht="12" customHeight="1" x14ac:dyDescent="0.25">
      <c r="A51" s="22">
        <v>5</v>
      </c>
      <c r="B51" s="14">
        <v>43497</v>
      </c>
      <c r="C51" s="15" t="str">
        <f>VLOOKUP(A51,Base!B:C,2,0)</f>
        <v>RESGATE APLICAÇÃO</v>
      </c>
      <c r="D51" s="15" t="str">
        <f>VLOOKUP(A51,Base!B:D,3,0)</f>
        <v>PALCOPARANÁ</v>
      </c>
      <c r="E51" s="23" t="str">
        <f>VLOOKUP($A51,Base!B:E,4,0)</f>
        <v>25.298.788/0001-95</v>
      </c>
      <c r="F51" s="24">
        <f>VLOOKUP($A51,Base!B:F,5,0)</f>
        <v>0</v>
      </c>
      <c r="G51" s="23"/>
      <c r="H51" s="17" t="s">
        <v>13</v>
      </c>
      <c r="I51" s="19">
        <v>102500</v>
      </c>
      <c r="J51" s="20"/>
      <c r="K51" s="21">
        <f t="shared" si="0"/>
        <v>167.40999999997439</v>
      </c>
    </row>
    <row r="52" spans="1:11" ht="12" customHeight="1" x14ac:dyDescent="0.25">
      <c r="A52" s="22">
        <v>5</v>
      </c>
      <c r="B52" s="14">
        <v>43497</v>
      </c>
      <c r="C52" s="15" t="str">
        <f>VLOOKUP(A52,Base!B:C,2,0)</f>
        <v>RESGATE APLICAÇÃO</v>
      </c>
      <c r="D52" s="15" t="str">
        <f>VLOOKUP(A52,Base!B:D,3,0)</f>
        <v>PALCOPARANÁ</v>
      </c>
      <c r="E52" s="23" t="str">
        <f>VLOOKUP($A52,Base!B:E,4,0)</f>
        <v>25.298.788/0001-95</v>
      </c>
      <c r="F52" s="24">
        <f>VLOOKUP($A52,Base!B:F,5,0)</f>
        <v>0</v>
      </c>
      <c r="G52" s="23"/>
      <c r="H52" s="17" t="s">
        <v>13</v>
      </c>
      <c r="I52" s="19">
        <v>1672.8</v>
      </c>
      <c r="J52" s="20"/>
      <c r="K52" s="21">
        <f t="shared" si="0"/>
        <v>1840.2099999999743</v>
      </c>
    </row>
    <row r="53" spans="1:11" ht="12" customHeight="1" x14ac:dyDescent="0.25">
      <c r="A53" s="13">
        <v>4</v>
      </c>
      <c r="B53" s="14">
        <v>43500</v>
      </c>
      <c r="C53" s="15" t="str">
        <f>VLOOKUP(A53,Base!B:C,2,0)</f>
        <v>3.3.90.39.47 - SERVIÇO DE COMUNICAÇÃO EM GERAL</v>
      </c>
      <c r="D53" s="15" t="str">
        <f>VLOOKUP(A53,Base!B:D,3,0)</f>
        <v>DPTO DE IMPRENSA OFICIAL ESTADO DO PARANÁ</v>
      </c>
      <c r="E53" s="23" t="str">
        <f>VLOOKUP($A53,Base!B:E,4,0)</f>
        <v>76.437.383/0001-21</v>
      </c>
      <c r="F53" s="24" t="str">
        <f>VLOOKUP($A53,Base!B:F,5,0)</f>
        <v>NOTA FISCAL</v>
      </c>
      <c r="G53" s="23">
        <v>2019259811</v>
      </c>
      <c r="H53" s="17" t="s">
        <v>54</v>
      </c>
      <c r="I53" s="19"/>
      <c r="J53" s="20">
        <v>210</v>
      </c>
      <c r="K53" s="21">
        <f t="shared" si="0"/>
        <v>1630.2099999999743</v>
      </c>
    </row>
    <row r="54" spans="1:11" ht="12" customHeight="1" x14ac:dyDescent="0.25">
      <c r="A54" s="13">
        <v>7</v>
      </c>
      <c r="B54" s="14">
        <v>43501</v>
      </c>
      <c r="C54" s="15" t="str">
        <f>VLOOKUP(A54,Base!B:C,2,0)</f>
        <v>3.3.90.39.05 - SERVIÇOS TÉCNICOS PROFISSIONAIS</v>
      </c>
      <c r="D54" s="15" t="str">
        <f>VLOOKUP(A54,Base!B:D,3,0)</f>
        <v>SBSC CONTADORES ASSOCIADOS LTDA</v>
      </c>
      <c r="E54" s="23" t="str">
        <f>VLOOKUP($A54,Base!B:E,4,0)</f>
        <v>05.377.113/0001-24</v>
      </c>
      <c r="F54" s="24" t="str">
        <f>VLOOKUP($A54,Base!B:F,5,0)</f>
        <v>NFS-e</v>
      </c>
      <c r="G54" s="23">
        <v>715</v>
      </c>
      <c r="H54" s="17" t="s">
        <v>55</v>
      </c>
      <c r="I54" s="19"/>
      <c r="J54" s="20">
        <v>2166.66</v>
      </c>
      <c r="K54" s="21">
        <f t="shared" si="0"/>
        <v>-536.45000000002551</v>
      </c>
    </row>
    <row r="55" spans="1:11" ht="12" customHeight="1" x14ac:dyDescent="0.25">
      <c r="A55" s="28">
        <v>5</v>
      </c>
      <c r="B55" s="14">
        <v>43501</v>
      </c>
      <c r="C55" s="15" t="str">
        <f>VLOOKUP(A55,Base!B:C,2,0)</f>
        <v>RESGATE APLICAÇÃO</v>
      </c>
      <c r="D55" s="15" t="str">
        <f>VLOOKUP(A55,Base!B:D,3,0)</f>
        <v>PALCOPARANÁ</v>
      </c>
      <c r="E55" s="23" t="str">
        <f>VLOOKUP($A55,Base!B:E,4,0)</f>
        <v>25.298.788/0001-95</v>
      </c>
      <c r="F55" s="24">
        <f>VLOOKUP($A55,Base!B:F,5,0)</f>
        <v>0</v>
      </c>
      <c r="G55" s="23"/>
      <c r="H55" s="17" t="s">
        <v>13</v>
      </c>
      <c r="I55" s="19">
        <v>1000</v>
      </c>
      <c r="J55" s="20"/>
      <c r="K55" s="21">
        <f t="shared" si="0"/>
        <v>463.54999999997449</v>
      </c>
    </row>
    <row r="56" spans="1:11" ht="12" customHeight="1" x14ac:dyDescent="0.25">
      <c r="A56" s="28">
        <v>5</v>
      </c>
      <c r="B56" s="14">
        <v>43501</v>
      </c>
      <c r="C56" s="15" t="str">
        <f>VLOOKUP(A56,Base!B:C,2,0)</f>
        <v>RESGATE APLICAÇÃO</v>
      </c>
      <c r="D56" s="15" t="str">
        <f>VLOOKUP(A56,Base!B:D,3,0)</f>
        <v>PALCOPARANÁ</v>
      </c>
      <c r="E56" s="23" t="str">
        <f>VLOOKUP($A56,Base!B:E,4,0)</f>
        <v>25.298.788/0001-95</v>
      </c>
      <c r="F56" s="24">
        <f>VLOOKUP($A56,Base!B:F,5,0)</f>
        <v>0</v>
      </c>
      <c r="G56" s="23"/>
      <c r="H56" s="17" t="s">
        <v>13</v>
      </c>
      <c r="I56" s="19">
        <v>16.8</v>
      </c>
      <c r="J56" s="20"/>
      <c r="K56" s="21">
        <f t="shared" si="0"/>
        <v>480.3499999999745</v>
      </c>
    </row>
    <row r="57" spans="1:11" ht="12" customHeight="1" x14ac:dyDescent="0.25">
      <c r="A57" s="28">
        <v>3</v>
      </c>
      <c r="B57" s="14">
        <v>43502</v>
      </c>
      <c r="C57" s="15" t="str">
        <f>VLOOKUP(A57,Base!B:C,2,0)</f>
        <v>3.1.90.46.03 - AUXÍLIO-ALIMENTAÇÃO</v>
      </c>
      <c r="D57" s="15" t="str">
        <f>VLOOKUP(A57,Base!B:D,3,0)</f>
        <v>COLABORADORES DIVERSOS</v>
      </c>
      <c r="E57" s="23">
        <f>VLOOKUP($A57,Base!B:E,4,0)</f>
        <v>0</v>
      </c>
      <c r="F57" s="24" t="str">
        <f>VLOOKUP($A57,Base!B:F,5,0)</f>
        <v>RECIBO</v>
      </c>
      <c r="G57" s="23"/>
      <c r="H57" s="17" t="s">
        <v>56</v>
      </c>
      <c r="I57" s="19"/>
      <c r="J57" s="20">
        <v>5700</v>
      </c>
      <c r="K57" s="21">
        <f t="shared" si="0"/>
        <v>-5219.6500000000251</v>
      </c>
    </row>
    <row r="58" spans="1:11" ht="12" customHeight="1" x14ac:dyDescent="0.25">
      <c r="A58" s="28">
        <v>13</v>
      </c>
      <c r="B58" s="14">
        <v>43502</v>
      </c>
      <c r="C58" s="15" t="str">
        <f>VLOOKUP(A58,Base!B:C,2,0)</f>
        <v>3.1.90.46.03 - AUXÍLIO-ALIMENTAÇÃO</v>
      </c>
      <c r="D58" s="15" t="s">
        <v>57</v>
      </c>
      <c r="E58" s="23" t="s">
        <v>58</v>
      </c>
      <c r="F58" s="24" t="str">
        <f>VLOOKUP($A58,Base!B:F,5,0)</f>
        <v>RECIBO</v>
      </c>
      <c r="G58" s="23"/>
      <c r="H58" s="17" t="s">
        <v>59</v>
      </c>
      <c r="I58" s="19"/>
      <c r="J58" s="20">
        <v>300</v>
      </c>
      <c r="K58" s="21">
        <f t="shared" si="0"/>
        <v>-5519.6500000000251</v>
      </c>
    </row>
    <row r="59" spans="1:11" ht="12" customHeight="1" x14ac:dyDescent="0.25">
      <c r="A59" s="28">
        <v>13</v>
      </c>
      <c r="B59" s="14">
        <v>43502</v>
      </c>
      <c r="C59" s="15" t="str">
        <f>VLOOKUP(A59,Base!B:C,2,0)</f>
        <v>3.1.90.46.03 - AUXÍLIO-ALIMENTAÇÃO</v>
      </c>
      <c r="D59" s="15" t="s">
        <v>60</v>
      </c>
      <c r="E59" s="23" t="s">
        <v>61</v>
      </c>
      <c r="F59" s="24" t="str">
        <f>VLOOKUP($A59,Base!B:F,5,0)</f>
        <v>RECIBO</v>
      </c>
      <c r="G59" s="23"/>
      <c r="H59" s="17" t="s">
        <v>59</v>
      </c>
      <c r="I59" s="19"/>
      <c r="J59" s="20">
        <v>300</v>
      </c>
      <c r="K59" s="21">
        <f t="shared" si="0"/>
        <v>-5819.6500000000251</v>
      </c>
    </row>
    <row r="60" spans="1:11" ht="12" customHeight="1" x14ac:dyDescent="0.25">
      <c r="A60" s="28">
        <v>12</v>
      </c>
      <c r="B60" s="14">
        <v>43502</v>
      </c>
      <c r="C60" s="15" t="str">
        <f>VLOOKUP(A60,Base!B:C,2,0)</f>
        <v>3.1.90.46.03 - AUXÍLIO-ALIMENTAÇÃO</v>
      </c>
      <c r="D60" s="15" t="s">
        <v>62</v>
      </c>
      <c r="E60" s="23" t="str">
        <f>VLOOKUP($A60,Base!B:E,4,0)</f>
        <v>020.621.669-66</v>
      </c>
      <c r="F60" s="24" t="str">
        <f>VLOOKUP($A60,Base!B:F,5,0)</f>
        <v>RECIBO</v>
      </c>
      <c r="G60" s="23"/>
      <c r="H60" s="17" t="s">
        <v>59</v>
      </c>
      <c r="I60" s="19"/>
      <c r="J60" s="20">
        <v>300</v>
      </c>
      <c r="K60" s="21">
        <f t="shared" si="0"/>
        <v>-6119.6500000000251</v>
      </c>
    </row>
    <row r="61" spans="1:11" ht="12" customHeight="1" x14ac:dyDescent="0.25">
      <c r="A61" s="28">
        <v>13</v>
      </c>
      <c r="B61" s="14">
        <v>43502</v>
      </c>
      <c r="C61" s="15" t="str">
        <f>VLOOKUP(A61,Base!B:C,2,0)</f>
        <v>3.1.90.46.03 - AUXÍLIO-ALIMENTAÇÃO</v>
      </c>
      <c r="D61" s="15" t="s">
        <v>33</v>
      </c>
      <c r="E61" s="23" t="s">
        <v>34</v>
      </c>
      <c r="F61" s="24" t="str">
        <f>VLOOKUP($A61,Base!B:F,5,0)</f>
        <v>RECIBO</v>
      </c>
      <c r="G61" s="23"/>
      <c r="H61" s="17" t="s">
        <v>59</v>
      </c>
      <c r="I61" s="19"/>
      <c r="J61" s="20">
        <v>300</v>
      </c>
      <c r="K61" s="21">
        <f t="shared" si="0"/>
        <v>-6419.6500000000251</v>
      </c>
    </row>
    <row r="62" spans="1:11" ht="12" customHeight="1" x14ac:dyDescent="0.25">
      <c r="A62" s="28">
        <v>5</v>
      </c>
      <c r="B62" s="14">
        <v>43502</v>
      </c>
      <c r="C62" s="15" t="str">
        <f>VLOOKUP(A62,Base!B:C,2,0)</f>
        <v>RESGATE APLICAÇÃO</v>
      </c>
      <c r="D62" s="15" t="str">
        <f>VLOOKUP(A62,Base!B:D,3,0)</f>
        <v>PALCOPARANÁ</v>
      </c>
      <c r="E62" s="23" t="str">
        <f>VLOOKUP($A62,Base!B:E,4,0)</f>
        <v>25.298.788/0001-95</v>
      </c>
      <c r="F62" s="24">
        <f>VLOOKUP($A62,Base!B:F,5,0)</f>
        <v>0</v>
      </c>
      <c r="G62" s="23"/>
      <c r="H62" s="17" t="s">
        <v>13</v>
      </c>
      <c r="I62" s="19">
        <v>6500</v>
      </c>
      <c r="J62" s="20"/>
      <c r="K62" s="21">
        <f t="shared" si="0"/>
        <v>80.349999999974898</v>
      </c>
    </row>
    <row r="63" spans="1:11" ht="12" customHeight="1" x14ac:dyDescent="0.25">
      <c r="A63" s="28">
        <v>5</v>
      </c>
      <c r="B63" s="14">
        <v>43502</v>
      </c>
      <c r="C63" s="15" t="str">
        <f>VLOOKUP(A63,Base!B:C,2,0)</f>
        <v>RESGATE APLICAÇÃO</v>
      </c>
      <c r="D63" s="15" t="str">
        <f>VLOOKUP(A63,Base!B:D,3,0)</f>
        <v>PALCOPARANÁ</v>
      </c>
      <c r="E63" s="23" t="str">
        <f>VLOOKUP($A63,Base!B:E,4,0)</f>
        <v>25.298.788/0001-95</v>
      </c>
      <c r="F63" s="24">
        <f>VLOOKUP($A63,Base!B:F,5,0)</f>
        <v>0</v>
      </c>
      <c r="G63" s="23"/>
      <c r="H63" s="17" t="s">
        <v>13</v>
      </c>
      <c r="I63" s="19">
        <v>110.63</v>
      </c>
      <c r="J63" s="20"/>
      <c r="K63" s="21">
        <f t="shared" si="0"/>
        <v>190.97999999997489</v>
      </c>
    </row>
    <row r="64" spans="1:11" ht="12" customHeight="1" x14ac:dyDescent="0.25">
      <c r="A64" s="28">
        <v>9</v>
      </c>
      <c r="B64" s="14">
        <v>43503</v>
      </c>
      <c r="C64" s="15" t="str">
        <f>VLOOKUP(A64,Base!B:C,2,0)</f>
        <v>3.3.90.39.12 - LOCAÇÃO DE MÁQUINAS E EQUIPAMENTOS</v>
      </c>
      <c r="D64" s="15" t="str">
        <f>VLOOKUP(A64,Base!B:D,3,0)</f>
        <v>INTERATIVA SOLUÇÕES EM INFORMATICA LTDA</v>
      </c>
      <c r="E64" s="23" t="str">
        <f>VLOOKUP($A64,Base!B:E,4,0)</f>
        <v>04.192.385/0001-97</v>
      </c>
      <c r="F64" s="24" t="str">
        <f>VLOOKUP($A64,Base!B:F,5,0)</f>
        <v>NFS-e</v>
      </c>
      <c r="G64" s="23">
        <v>6659</v>
      </c>
      <c r="H64" s="17" t="s">
        <v>21</v>
      </c>
      <c r="I64" s="19"/>
      <c r="J64" s="20">
        <v>748</v>
      </c>
      <c r="K64" s="21">
        <f t="shared" si="0"/>
        <v>-557.02000000002511</v>
      </c>
    </row>
    <row r="65" spans="1:11" ht="12" customHeight="1" x14ac:dyDescent="0.25">
      <c r="A65" s="28">
        <v>10</v>
      </c>
      <c r="B65" s="14">
        <v>43503</v>
      </c>
      <c r="C65" s="15" t="str">
        <f>VLOOKUP(A65,Base!B:C,2,0)</f>
        <v>3.1.90.13.02 - FGTS</v>
      </c>
      <c r="D65" s="15" t="str">
        <f>VLOOKUP(A65,Base!B:D,3,0)</f>
        <v>CAIXA ECONÔMICA FEDERAL</v>
      </c>
      <c r="E65" s="23">
        <f>VLOOKUP($A65,Base!B:E,4,0)</f>
        <v>0</v>
      </c>
      <c r="F65" s="24" t="str">
        <f>VLOOKUP($A65,Base!B:F,5,0)</f>
        <v>GUIA GRRF</v>
      </c>
      <c r="G65" s="23"/>
      <c r="H65" s="17" t="s">
        <v>63</v>
      </c>
      <c r="I65" s="19"/>
      <c r="J65" s="20">
        <v>22877.72</v>
      </c>
      <c r="K65" s="21">
        <f t="shared" si="0"/>
        <v>-23434.740000000027</v>
      </c>
    </row>
    <row r="66" spans="1:11" ht="12" customHeight="1" x14ac:dyDescent="0.25">
      <c r="A66" s="28">
        <v>5</v>
      </c>
      <c r="B66" s="14">
        <v>43503</v>
      </c>
      <c r="C66" s="15" t="str">
        <f>VLOOKUP(A66,Base!B:C,2,0)</f>
        <v>RESGATE APLICAÇÃO</v>
      </c>
      <c r="D66" s="15" t="str">
        <f>VLOOKUP(A66,Base!B:D,3,0)</f>
        <v>PALCOPARANÁ</v>
      </c>
      <c r="E66" s="23" t="str">
        <f>VLOOKUP($A66,Base!B:E,4,0)</f>
        <v>25.298.788/0001-95</v>
      </c>
      <c r="F66" s="24">
        <f>VLOOKUP($A66,Base!B:F,5,0)</f>
        <v>0</v>
      </c>
      <c r="G66" s="23"/>
      <c r="H66" s="17" t="s">
        <v>13</v>
      </c>
      <c r="I66" s="19">
        <v>23500</v>
      </c>
      <c r="J66" s="20"/>
      <c r="K66" s="21">
        <f t="shared" si="0"/>
        <v>65.259999999972933</v>
      </c>
    </row>
    <row r="67" spans="1:11" ht="12" customHeight="1" x14ac:dyDescent="0.25">
      <c r="A67" s="28">
        <v>5</v>
      </c>
      <c r="B67" s="14">
        <v>43503</v>
      </c>
      <c r="C67" s="15" t="str">
        <f>VLOOKUP(A67,Base!B:C,2,0)</f>
        <v>RESGATE APLICAÇÃO</v>
      </c>
      <c r="D67" s="15" t="str">
        <f>VLOOKUP(A67,Base!B:D,3,0)</f>
        <v>PALCOPARANÁ</v>
      </c>
      <c r="E67" s="23" t="str">
        <f>VLOOKUP($A67,Base!B:E,4,0)</f>
        <v>25.298.788/0001-95</v>
      </c>
      <c r="F67" s="24">
        <f>VLOOKUP($A67,Base!B:F,5,0)</f>
        <v>0</v>
      </c>
      <c r="G67" s="23"/>
      <c r="H67" s="17" t="s">
        <v>13</v>
      </c>
      <c r="I67" s="19">
        <v>405.61</v>
      </c>
      <c r="J67" s="20"/>
      <c r="K67" s="21">
        <f t="shared" ref="K67:K130" si="1">K66+I67-J67</f>
        <v>470.86999999997295</v>
      </c>
    </row>
    <row r="68" spans="1:11" ht="12" customHeight="1" x14ac:dyDescent="0.25">
      <c r="A68" s="28">
        <v>19</v>
      </c>
      <c r="B68" s="14">
        <v>43504</v>
      </c>
      <c r="C68" s="15" t="str">
        <f>VLOOKUP(A68,Base!B:C,2,0)</f>
        <v>CRÉDITO</v>
      </c>
      <c r="D68" s="15" t="str">
        <f>VLOOKUP(A68,Base!B:D,3,0)</f>
        <v>PALCOPARANÁ</v>
      </c>
      <c r="E68" s="23" t="str">
        <f>VLOOKUP($A68,Base!B:E,4,0)</f>
        <v>25.298.788/0001-95</v>
      </c>
      <c r="F68" s="24">
        <f>VLOOKUP($A68,Base!B:F,5,0)</f>
        <v>0</v>
      </c>
      <c r="G68" s="23"/>
      <c r="H68" s="17" t="s">
        <v>64</v>
      </c>
      <c r="I68" s="19">
        <v>1200000</v>
      </c>
      <c r="J68" s="20"/>
      <c r="K68" s="21">
        <f t="shared" si="1"/>
        <v>1200470.8699999999</v>
      </c>
    </row>
    <row r="69" spans="1:11" ht="12" customHeight="1" x14ac:dyDescent="0.25">
      <c r="A69" s="28">
        <v>23</v>
      </c>
      <c r="B69" s="14">
        <v>43504</v>
      </c>
      <c r="C69" s="15" t="str">
        <f>VLOOKUP(A69,Base!B:C,2,0)</f>
        <v>TRANSFERÊNCIA CONTA DE RESERVA</v>
      </c>
      <c r="D69" s="15" t="str">
        <f>VLOOKUP(A69,Base!B:D,3,0)</f>
        <v>PALCOPARANÁ</v>
      </c>
      <c r="E69" s="23" t="str">
        <f>VLOOKUP($A69,Base!B:E,4,0)</f>
        <v>25.298.788/0001-95</v>
      </c>
      <c r="F69" s="24">
        <f>VLOOKUP($A69,Base!B:F,5,0)</f>
        <v>0</v>
      </c>
      <c r="G69" s="23"/>
      <c r="H69" s="17" t="s">
        <v>65</v>
      </c>
      <c r="I69" s="19"/>
      <c r="J69" s="20">
        <v>60000</v>
      </c>
      <c r="K69" s="21">
        <f t="shared" si="1"/>
        <v>1140470.8699999999</v>
      </c>
    </row>
    <row r="70" spans="1:11" ht="12" customHeight="1" x14ac:dyDescent="0.25">
      <c r="A70" s="28">
        <v>24</v>
      </c>
      <c r="B70" s="14">
        <v>43504</v>
      </c>
      <c r="C70" s="15" t="str">
        <f>VLOOKUP(A70,Base!B:C,2,0)</f>
        <v>APLICAÇÃO</v>
      </c>
      <c r="D70" s="15" t="str">
        <f>VLOOKUP(A70,Base!B:D,3,0)</f>
        <v>PALCOPARANÁ</v>
      </c>
      <c r="E70" s="23" t="str">
        <f>VLOOKUP($A70,Base!B:E,4,0)</f>
        <v>25.298.788/0001-95</v>
      </c>
      <c r="F70" s="24">
        <f>VLOOKUP($A70,Base!B:F,5,0)</f>
        <v>0</v>
      </c>
      <c r="G70" s="23"/>
      <c r="H70" s="17" t="s">
        <v>66</v>
      </c>
      <c r="I70" s="19"/>
      <c r="J70" s="20">
        <v>1085000</v>
      </c>
      <c r="K70" s="21">
        <f t="shared" si="1"/>
        <v>55470.869999999879</v>
      </c>
    </row>
    <row r="71" spans="1:11" ht="12" customHeight="1" x14ac:dyDescent="0.25">
      <c r="A71" s="28">
        <v>13</v>
      </c>
      <c r="B71" s="14">
        <v>43504</v>
      </c>
      <c r="C71" s="15" t="str">
        <f>VLOOKUP(A71,Base!B:C,2,0)</f>
        <v>3.1.90.46.03 - AUXÍLIO-ALIMENTAÇÃO</v>
      </c>
      <c r="D71" s="15" t="s">
        <v>36</v>
      </c>
      <c r="E71" s="29" t="s">
        <v>37</v>
      </c>
      <c r="F71" s="24" t="str">
        <f>VLOOKUP($A71,Base!B:F,5,0)</f>
        <v>RECIBO</v>
      </c>
      <c r="G71" s="23"/>
      <c r="H71" s="17" t="s">
        <v>59</v>
      </c>
      <c r="I71" s="19"/>
      <c r="J71" s="20">
        <v>300</v>
      </c>
      <c r="K71" s="21">
        <f t="shared" si="1"/>
        <v>55170.869999999879</v>
      </c>
    </row>
    <row r="72" spans="1:11" ht="12" customHeight="1" x14ac:dyDescent="0.25">
      <c r="A72" s="28">
        <v>13</v>
      </c>
      <c r="B72" s="14">
        <v>43504</v>
      </c>
      <c r="C72" s="15" t="str">
        <f>VLOOKUP(A72,Base!B:C,2,0)</f>
        <v>3.1.90.46.03 - AUXÍLIO-ALIMENTAÇÃO</v>
      </c>
      <c r="D72" s="15" t="s">
        <v>14</v>
      </c>
      <c r="E72" s="23" t="s">
        <v>15</v>
      </c>
      <c r="F72" s="24" t="str">
        <f>VLOOKUP($A72,Base!B:F,5,0)</f>
        <v>RECIBO</v>
      </c>
      <c r="G72" s="23"/>
      <c r="H72" s="17" t="s">
        <v>59</v>
      </c>
      <c r="I72" s="19"/>
      <c r="J72" s="20">
        <v>300</v>
      </c>
      <c r="K72" s="21">
        <f t="shared" si="1"/>
        <v>54870.869999999879</v>
      </c>
    </row>
    <row r="73" spans="1:11" ht="12" customHeight="1" x14ac:dyDescent="0.25">
      <c r="A73" s="28">
        <v>14</v>
      </c>
      <c r="B73" s="14">
        <v>43504</v>
      </c>
      <c r="C73" s="15" t="str">
        <f>VLOOKUP(A73,Base!B:C,2,0)</f>
        <v>3.3.90.39.39 - ENCARGOS FINANCEIROS INDEDUTÍVEIS</v>
      </c>
      <c r="D73" s="15" t="str">
        <f>VLOOKUP(A73,Base!B:D,3,0)</f>
        <v>BANCO DO BRASIL</v>
      </c>
      <c r="E73" s="23">
        <f>VLOOKUP($A73,Base!B:E,4,0)</f>
        <v>191</v>
      </c>
      <c r="F73" s="24" t="str">
        <f>VLOOKUP($A73,Base!B:F,5,0)</f>
        <v>AVISO DE DÉBITO</v>
      </c>
      <c r="G73" s="23"/>
      <c r="H73" s="17" t="s">
        <v>67</v>
      </c>
      <c r="I73" s="19"/>
      <c r="J73" s="20">
        <v>10.18</v>
      </c>
      <c r="K73" s="21">
        <f t="shared" si="1"/>
        <v>54860.689999999879</v>
      </c>
    </row>
    <row r="74" spans="1:11" ht="12" customHeight="1" x14ac:dyDescent="0.25">
      <c r="A74" s="28">
        <v>13</v>
      </c>
      <c r="B74" s="14">
        <v>43509</v>
      </c>
      <c r="C74" s="15" t="str">
        <f>VLOOKUP(A74,Base!B:C,2,0)</f>
        <v>3.1.90.46.03 - AUXÍLIO-ALIMENTAÇÃO</v>
      </c>
      <c r="D74" s="15" t="s">
        <v>68</v>
      </c>
      <c r="E74" s="23" t="s">
        <v>69</v>
      </c>
      <c r="F74" s="24" t="str">
        <f>VLOOKUP($A74,Base!B:F,5,0)</f>
        <v>RECIBO</v>
      </c>
      <c r="G74" s="23"/>
      <c r="H74" s="17" t="s">
        <v>59</v>
      </c>
      <c r="I74" s="19"/>
      <c r="J74" s="20">
        <v>300</v>
      </c>
      <c r="K74" s="21">
        <f t="shared" si="1"/>
        <v>54560.689999999879</v>
      </c>
    </row>
    <row r="75" spans="1:11" ht="12" customHeight="1" x14ac:dyDescent="0.25">
      <c r="A75" s="28">
        <v>13</v>
      </c>
      <c r="B75" s="14">
        <v>43509</v>
      </c>
      <c r="C75" s="15" t="str">
        <f>VLOOKUP(A75,Base!B:C,2,0)</f>
        <v>3.1.90.46.03 - AUXÍLIO-ALIMENTAÇÃO</v>
      </c>
      <c r="D75" s="15" t="s">
        <v>68</v>
      </c>
      <c r="E75" s="23" t="s">
        <v>69</v>
      </c>
      <c r="F75" s="24" t="str">
        <f>VLOOKUP($A75,Base!B:F,5,0)</f>
        <v>RECIBO</v>
      </c>
      <c r="G75" s="23"/>
      <c r="H75" s="17" t="s">
        <v>70</v>
      </c>
      <c r="I75" s="19"/>
      <c r="J75" s="20">
        <v>135</v>
      </c>
      <c r="K75" s="21">
        <f t="shared" si="1"/>
        <v>54425.689999999879</v>
      </c>
    </row>
    <row r="76" spans="1:11" ht="12" customHeight="1" x14ac:dyDescent="0.25">
      <c r="A76" s="28">
        <v>16</v>
      </c>
      <c r="B76" s="14">
        <v>43516</v>
      </c>
      <c r="C76" s="15" t="str">
        <f>VLOOKUP(A76,Base!B:C,2,0)</f>
        <v>3.1.90.13.01- CONTRIBUIÇÕES PREVIDENCIÁRIAS - INSS</v>
      </c>
      <c r="D76" s="15" t="str">
        <f>VLOOKUP(A76,Base!B:D,3,0)</f>
        <v>FUNDO DO REGIME GERAL DE PREVIDENCIA SOCIAL</v>
      </c>
      <c r="E76" s="23" t="str">
        <f>VLOOKUP($A76,Base!B:E,4,0)</f>
        <v>16.727.230/0001-97</v>
      </c>
      <c r="F76" s="24" t="str">
        <f>VLOOKUP($A76,Base!B:F,5,0)</f>
        <v>GPS</v>
      </c>
      <c r="G76" s="23"/>
      <c r="H76" s="17" t="s">
        <v>71</v>
      </c>
      <c r="I76" s="19"/>
      <c r="J76" s="20">
        <v>105573.2</v>
      </c>
      <c r="K76" s="21">
        <f t="shared" si="1"/>
        <v>-51147.510000000118</v>
      </c>
    </row>
    <row r="77" spans="1:11" ht="12" customHeight="1" x14ac:dyDescent="0.25">
      <c r="A77" s="28">
        <v>15</v>
      </c>
      <c r="B77" s="14">
        <v>43516</v>
      </c>
      <c r="C77" s="15" t="str">
        <f>VLOOKUP(A77,Base!B:C,2,0)</f>
        <v>3.1.90.11.61 - VENCIMENTOS E SALÁRIOS</v>
      </c>
      <c r="D77" s="15" t="str">
        <f>VLOOKUP(A77,Base!B:D,3,0)</f>
        <v>MINISTÉRIO DA FAZENDA - UNIÃO</v>
      </c>
      <c r="E77" s="23">
        <f>VLOOKUP($A77,Base!B:E,4,0)</f>
        <v>0</v>
      </c>
      <c r="F77" s="24" t="str">
        <f>VLOOKUP($A77,Base!B:F,5,0)</f>
        <v>DARF IRRF</v>
      </c>
      <c r="G77" s="23"/>
      <c r="H77" s="17" t="s">
        <v>72</v>
      </c>
      <c r="I77" s="19"/>
      <c r="J77" s="20">
        <v>6617.57</v>
      </c>
      <c r="K77" s="21">
        <f t="shared" si="1"/>
        <v>-57765.080000000118</v>
      </c>
    </row>
    <row r="78" spans="1:11" ht="12" customHeight="1" x14ac:dyDescent="0.25">
      <c r="A78" s="22">
        <v>5</v>
      </c>
      <c r="B78" s="14">
        <v>43516</v>
      </c>
      <c r="C78" s="15" t="str">
        <f>VLOOKUP(A78,Base!B:C,2,0)</f>
        <v>RESGATE APLICAÇÃO</v>
      </c>
      <c r="D78" s="15" t="str">
        <f>VLOOKUP(A78,Base!B:D,3,0)</f>
        <v>PALCOPARANÁ</v>
      </c>
      <c r="E78" s="23" t="str">
        <f>VLOOKUP($A78,Base!B:E,4,0)</f>
        <v>25.298.788/0001-95</v>
      </c>
      <c r="F78" s="24">
        <f>VLOOKUP($A78,Base!B:F,5,0)</f>
        <v>0</v>
      </c>
      <c r="G78" s="23"/>
      <c r="H78" s="17" t="s">
        <v>13</v>
      </c>
      <c r="I78" s="19">
        <v>58000</v>
      </c>
      <c r="J78" s="20"/>
      <c r="K78" s="21">
        <f t="shared" si="1"/>
        <v>234.91999999988184</v>
      </c>
    </row>
    <row r="79" spans="1:11" ht="12" customHeight="1" x14ac:dyDescent="0.25">
      <c r="A79" s="22">
        <v>5</v>
      </c>
      <c r="B79" s="14">
        <v>43516</v>
      </c>
      <c r="C79" s="15" t="str">
        <f>VLOOKUP(A79,Base!B:C,2,0)</f>
        <v>RESGATE APLICAÇÃO</v>
      </c>
      <c r="D79" s="15" t="str">
        <f>VLOOKUP(A79,Base!B:D,3,0)</f>
        <v>PALCOPARANÁ</v>
      </c>
      <c r="E79" s="23" t="str">
        <f>VLOOKUP($A79,Base!B:E,4,0)</f>
        <v>25.298.788/0001-95</v>
      </c>
      <c r="F79" s="24">
        <f>VLOOKUP($A79,Base!B:F,5,0)</f>
        <v>0</v>
      </c>
      <c r="G79" s="23"/>
      <c r="H79" s="17" t="s">
        <v>13</v>
      </c>
      <c r="I79" s="19">
        <v>1124.04</v>
      </c>
      <c r="J79" s="20"/>
      <c r="K79" s="21">
        <f t="shared" si="1"/>
        <v>1358.9599999998818</v>
      </c>
    </row>
    <row r="80" spans="1:11" ht="12" customHeight="1" x14ac:dyDescent="0.25">
      <c r="A80" s="22">
        <v>20</v>
      </c>
      <c r="B80" s="14">
        <v>43521</v>
      </c>
      <c r="C80" s="15" t="str">
        <f>VLOOKUP(A80,Base!B:C,2,0)</f>
        <v>3.1.90.47.01 - PIS/PASEP</v>
      </c>
      <c r="D80" s="15" t="str">
        <f>VLOOKUP(A80,Base!B:D,3,0)</f>
        <v>MINISTÉRIO DA FAZENDA - UNIÃO</v>
      </c>
      <c r="E80" s="23" t="str">
        <f>VLOOKUP($A80,Base!B:E,4,0)</f>
        <v>25.298.788/0001-95 -8301</v>
      </c>
      <c r="F80" s="24" t="str">
        <f>VLOOKUP($A80,Base!B:F,5,0)</f>
        <v>DARF PIS</v>
      </c>
      <c r="G80" s="23"/>
      <c r="H80" s="17" t="s">
        <v>73</v>
      </c>
      <c r="I80" s="19"/>
      <c r="J80" s="20">
        <v>2859.72</v>
      </c>
      <c r="K80" s="21">
        <f t="shared" si="1"/>
        <v>-1500.760000000118</v>
      </c>
    </row>
    <row r="81" spans="1:11" ht="12" customHeight="1" x14ac:dyDescent="0.25">
      <c r="A81" s="22">
        <v>5</v>
      </c>
      <c r="B81" s="14">
        <v>43521</v>
      </c>
      <c r="C81" s="15" t="str">
        <f>VLOOKUP(A81,Base!B:C,2,0)</f>
        <v>RESGATE APLICAÇÃO</v>
      </c>
      <c r="D81" s="15" t="str">
        <f>VLOOKUP(A81,Base!B:D,3,0)</f>
        <v>PALCOPARANÁ</v>
      </c>
      <c r="E81" s="23" t="str">
        <f>VLOOKUP($A81,Base!B:E,4,0)</f>
        <v>25.298.788/0001-95</v>
      </c>
      <c r="F81" s="24">
        <f>VLOOKUP($A81,Base!B:F,5,0)</f>
        <v>0</v>
      </c>
      <c r="G81" s="23"/>
      <c r="H81" s="17" t="s">
        <v>13</v>
      </c>
      <c r="I81" s="19">
        <v>2000</v>
      </c>
      <c r="J81" s="20"/>
      <c r="K81" s="21">
        <f t="shared" si="1"/>
        <v>499.239999999882</v>
      </c>
    </row>
    <row r="82" spans="1:11" ht="12" customHeight="1" x14ac:dyDescent="0.25">
      <c r="A82" s="22">
        <v>5</v>
      </c>
      <c r="B82" s="14">
        <v>43521</v>
      </c>
      <c r="C82" s="15" t="str">
        <f>VLOOKUP(A82,Base!B:C,2,0)</f>
        <v>RESGATE APLICAÇÃO</v>
      </c>
      <c r="D82" s="15" t="str">
        <f>VLOOKUP(A82,Base!B:D,3,0)</f>
        <v>PALCOPARANÁ</v>
      </c>
      <c r="E82" s="23" t="str">
        <f>VLOOKUP($A82,Base!B:E,4,0)</f>
        <v>25.298.788/0001-95</v>
      </c>
      <c r="F82" s="24">
        <f>VLOOKUP($A82,Base!B:F,5,0)</f>
        <v>0</v>
      </c>
      <c r="G82" s="23"/>
      <c r="H82" s="17" t="s">
        <v>13</v>
      </c>
      <c r="I82" s="19">
        <v>40.159999999999997</v>
      </c>
      <c r="J82" s="20"/>
      <c r="K82" s="21">
        <f t="shared" si="1"/>
        <v>539.39999999988197</v>
      </c>
    </row>
    <row r="83" spans="1:11" ht="12" customHeight="1" x14ac:dyDescent="0.25">
      <c r="A83" s="13">
        <v>17</v>
      </c>
      <c r="B83" s="14">
        <v>43522</v>
      </c>
      <c r="C83" s="15" t="str">
        <f>VLOOKUP(A83,Base!B:C,2,0)</f>
        <v>3.3.90.39.05 - SERVIÇOS TÉCNICOS PROFISSIONAIS</v>
      </c>
      <c r="D83" s="25" t="s">
        <v>74</v>
      </c>
      <c r="E83" s="26" t="s">
        <v>75</v>
      </c>
      <c r="F83" s="24" t="s">
        <v>76</v>
      </c>
      <c r="G83" s="23">
        <v>49</v>
      </c>
      <c r="H83" s="17" t="s">
        <v>77</v>
      </c>
      <c r="I83" s="19"/>
      <c r="J83" s="20">
        <v>5890</v>
      </c>
      <c r="K83" s="21">
        <f t="shared" si="1"/>
        <v>-5350.6000000001177</v>
      </c>
    </row>
    <row r="84" spans="1:11" ht="12" customHeight="1" x14ac:dyDescent="0.25">
      <c r="A84" s="22">
        <v>5</v>
      </c>
      <c r="B84" s="14">
        <v>43522</v>
      </c>
      <c r="C84" s="15" t="str">
        <f>VLOOKUP(A84,Base!B:C,2,0)</f>
        <v>RESGATE APLICAÇÃO</v>
      </c>
      <c r="D84" s="15" t="str">
        <f>VLOOKUP(A84,Base!B:D,3,0)</f>
        <v>PALCOPARANÁ</v>
      </c>
      <c r="E84" s="23" t="str">
        <f>VLOOKUP($A84,Base!B:E,4,0)</f>
        <v>25.298.788/0001-95</v>
      </c>
      <c r="F84" s="24">
        <f>VLOOKUP($A84,Base!B:F,5,0)</f>
        <v>0</v>
      </c>
      <c r="G84" s="23"/>
      <c r="H84" s="17" t="s">
        <v>13</v>
      </c>
      <c r="I84" s="19">
        <v>5500</v>
      </c>
      <c r="J84" s="20"/>
      <c r="K84" s="21">
        <f t="shared" si="1"/>
        <v>149.39999999988231</v>
      </c>
    </row>
    <row r="85" spans="1:11" ht="12" customHeight="1" x14ac:dyDescent="0.25">
      <c r="A85" s="28">
        <v>5</v>
      </c>
      <c r="B85" s="14">
        <v>43522</v>
      </c>
      <c r="C85" s="15" t="str">
        <f>VLOOKUP(A85,Base!B:C,2,0)</f>
        <v>RESGATE APLICAÇÃO</v>
      </c>
      <c r="D85" s="15" t="str">
        <f>VLOOKUP(A85,Base!B:D,3,0)</f>
        <v>PALCOPARANÁ</v>
      </c>
      <c r="E85" s="23" t="str">
        <f>VLOOKUP($A85,Base!B:E,4,0)</f>
        <v>25.298.788/0001-95</v>
      </c>
      <c r="F85" s="24">
        <f>VLOOKUP($A85,Base!B:F,5,0)</f>
        <v>0</v>
      </c>
      <c r="G85" s="23"/>
      <c r="H85" s="17" t="s">
        <v>13</v>
      </c>
      <c r="I85" s="19">
        <v>13.9</v>
      </c>
      <c r="J85" s="20"/>
      <c r="K85" s="21">
        <f t="shared" si="1"/>
        <v>163.29999999988232</v>
      </c>
    </row>
    <row r="86" spans="1:11" ht="12" customHeight="1" x14ac:dyDescent="0.25">
      <c r="A86" s="28">
        <v>5</v>
      </c>
      <c r="B86" s="14">
        <v>43522</v>
      </c>
      <c r="C86" s="15" t="str">
        <f>VLOOKUP(A86,Base!B:C,2,0)</f>
        <v>RESGATE APLICAÇÃO</v>
      </c>
      <c r="D86" s="15" t="str">
        <f>VLOOKUP(A86,Base!B:D,3,0)</f>
        <v>PALCOPARANÁ</v>
      </c>
      <c r="E86" s="23" t="str">
        <f>VLOOKUP($A86,Base!B:E,4,0)</f>
        <v>25.298.788/0001-95</v>
      </c>
      <c r="F86" s="24">
        <f>VLOOKUP($A86,Base!B:F,5,0)</f>
        <v>0</v>
      </c>
      <c r="G86" s="23"/>
      <c r="H86" s="17" t="s">
        <v>13</v>
      </c>
      <c r="I86" s="19">
        <v>10.16</v>
      </c>
      <c r="J86" s="20"/>
      <c r="K86" s="21">
        <f t="shared" si="1"/>
        <v>173.45999999988231</v>
      </c>
    </row>
    <row r="87" spans="1:11" ht="12" customHeight="1" x14ac:dyDescent="0.25">
      <c r="A87" s="28">
        <v>1</v>
      </c>
      <c r="B87" s="14">
        <v>43523</v>
      </c>
      <c r="C87" s="15" t="str">
        <f>VLOOKUP(A87,Base!B:C,2,0)</f>
        <v>3.1.90.11.61 - VENCIMENTOS E SALÁRIOS</v>
      </c>
      <c r="D87" s="15" t="str">
        <f>VLOOKUP(A87,Base!B:D,3,0)</f>
        <v>COLABORADORES DIVERSOS</v>
      </c>
      <c r="E87" s="23">
        <f>VLOOKUP($A87,Base!B:E,4,0)</f>
        <v>0</v>
      </c>
      <c r="F87" s="24" t="str">
        <f>VLOOKUP($A87,Base!B:F,5,0)</f>
        <v>HOLERITE</v>
      </c>
      <c r="G87" s="23"/>
      <c r="H87" s="17" t="s">
        <v>78</v>
      </c>
      <c r="I87" s="19"/>
      <c r="J87" s="20">
        <v>192540.62</v>
      </c>
      <c r="K87" s="21">
        <f t="shared" si="1"/>
        <v>-192367.16000000012</v>
      </c>
    </row>
    <row r="88" spans="1:11" ht="12" customHeight="1" x14ac:dyDescent="0.25">
      <c r="A88" s="28">
        <v>3</v>
      </c>
      <c r="B88" s="14">
        <v>43523</v>
      </c>
      <c r="C88" s="15" t="str">
        <f>VLOOKUP(A88,Base!B:C,2,0)</f>
        <v>3.1.90.46.03 - AUXÍLIO-ALIMENTAÇÃO</v>
      </c>
      <c r="D88" s="15" t="str">
        <f>VLOOKUP(A88,Base!B:D,3,0)</f>
        <v>COLABORADORES DIVERSOS</v>
      </c>
      <c r="E88" s="23">
        <f>VLOOKUP($A88,Base!B:E,4,0)</f>
        <v>0</v>
      </c>
      <c r="F88" s="24" t="str">
        <f>VLOOKUP($A88,Base!B:F,5,0)</f>
        <v>RECIBO</v>
      </c>
      <c r="G88" s="23"/>
      <c r="H88" s="17" t="s">
        <v>79</v>
      </c>
      <c r="I88" s="19"/>
      <c r="J88" s="20">
        <v>5475</v>
      </c>
      <c r="K88" s="21">
        <f t="shared" si="1"/>
        <v>-197842.16000000012</v>
      </c>
    </row>
    <row r="89" spans="1:11" ht="12" customHeight="1" x14ac:dyDescent="0.25">
      <c r="A89" s="28">
        <v>3</v>
      </c>
      <c r="B89" s="14">
        <v>43523</v>
      </c>
      <c r="C89" s="15" t="str">
        <f>VLOOKUP(A89,Base!B:C,2,0)</f>
        <v>3.1.90.46.03 - AUXÍLIO-ALIMENTAÇÃO</v>
      </c>
      <c r="D89" s="15" t="str">
        <f>VLOOKUP(A89,Base!B:D,3,0)</f>
        <v>COLABORADORES DIVERSOS</v>
      </c>
      <c r="E89" s="23">
        <f>VLOOKUP($A89,Base!B:E,4,0)</f>
        <v>0</v>
      </c>
      <c r="F89" s="24" t="str">
        <f>VLOOKUP($A89,Base!B:F,5,0)</f>
        <v>RECIBO</v>
      </c>
      <c r="G89" s="23"/>
      <c r="H89" s="17" t="s">
        <v>79</v>
      </c>
      <c r="I89" s="19"/>
      <c r="J89" s="20">
        <v>540</v>
      </c>
      <c r="K89" s="21">
        <f t="shared" si="1"/>
        <v>-198382.16000000012</v>
      </c>
    </row>
    <row r="90" spans="1:11" ht="12" customHeight="1" x14ac:dyDescent="0.25">
      <c r="A90" s="28">
        <v>5</v>
      </c>
      <c r="B90" s="14">
        <v>43523</v>
      </c>
      <c r="C90" s="15" t="str">
        <f>VLOOKUP(A90,Base!B:C,2,0)</f>
        <v>RESGATE APLICAÇÃO</v>
      </c>
      <c r="D90" s="15" t="str">
        <f>VLOOKUP(A90,Base!B:D,3,0)</f>
        <v>PALCOPARANÁ</v>
      </c>
      <c r="E90" s="23" t="str">
        <f>VLOOKUP($A90,Base!B:E,4,0)</f>
        <v>25.298.788/0001-95</v>
      </c>
      <c r="F90" s="24">
        <f>VLOOKUP($A90,Base!B:F,5,0)</f>
        <v>0</v>
      </c>
      <c r="G90" s="23"/>
      <c r="H90" s="17" t="s">
        <v>13</v>
      </c>
      <c r="I90" s="19">
        <v>198500</v>
      </c>
      <c r="J90" s="20"/>
      <c r="K90" s="21">
        <f t="shared" si="1"/>
        <v>117.83999999988009</v>
      </c>
    </row>
    <row r="91" spans="1:11" ht="12" customHeight="1" x14ac:dyDescent="0.25">
      <c r="A91" s="28">
        <v>5</v>
      </c>
      <c r="B91" s="14">
        <v>43523</v>
      </c>
      <c r="C91" s="15" t="str">
        <f>VLOOKUP(A91,Base!B:C,2,0)</f>
        <v>RESGATE APLICAÇÃO</v>
      </c>
      <c r="D91" s="15" t="str">
        <f>VLOOKUP(A91,Base!B:D,3,0)</f>
        <v>PALCOPARANÁ</v>
      </c>
      <c r="E91" s="23" t="str">
        <f>VLOOKUP($A91,Base!B:E,4,0)</f>
        <v>25.298.788/0001-95</v>
      </c>
      <c r="F91" s="24">
        <f>VLOOKUP($A91,Base!B:F,5,0)</f>
        <v>0</v>
      </c>
      <c r="G91" s="23"/>
      <c r="H91" s="17" t="s">
        <v>13</v>
      </c>
      <c r="I91" s="19">
        <v>595.5</v>
      </c>
      <c r="J91" s="20"/>
      <c r="K91" s="21">
        <f t="shared" si="1"/>
        <v>713.33999999988009</v>
      </c>
    </row>
    <row r="92" spans="1:11" ht="12" customHeight="1" x14ac:dyDescent="0.25">
      <c r="A92" s="28">
        <v>2</v>
      </c>
      <c r="B92" s="14">
        <v>43525</v>
      </c>
      <c r="C92" s="15" t="str">
        <f>VLOOKUP(A92,Base!B:C,2,0)</f>
        <v>3.1.90.11.61 - VENCIMENTOS E SALÁRIOS</v>
      </c>
      <c r="D92" s="15" t="str">
        <f>VLOOKUP(A92,Base!B:D,3,0)</f>
        <v>NICOLE BARÃO RAFFS</v>
      </c>
      <c r="E92" s="23" t="str">
        <f>VLOOKUP($A92,Base!B:E,4,0)</f>
        <v>020.621.669-66</v>
      </c>
      <c r="F92" s="24" t="str">
        <f>VLOOKUP($A92,Base!B:F,5,0)</f>
        <v>HOLERITE</v>
      </c>
      <c r="G92" s="23"/>
      <c r="H92" s="17" t="s">
        <v>80</v>
      </c>
      <c r="I92" s="19"/>
      <c r="J92" s="20">
        <v>10149.24</v>
      </c>
      <c r="K92" s="21">
        <f t="shared" si="1"/>
        <v>-9435.9000000001197</v>
      </c>
    </row>
    <row r="93" spans="1:11" ht="12" customHeight="1" x14ac:dyDescent="0.25">
      <c r="A93" s="28">
        <v>12</v>
      </c>
      <c r="B93" s="14">
        <v>43525</v>
      </c>
      <c r="C93" s="15" t="str">
        <f>VLOOKUP(A93,Base!B:C,2,0)</f>
        <v>3.1.90.46.03 - AUXÍLIO-ALIMENTAÇÃO</v>
      </c>
      <c r="D93" s="15" t="str">
        <f>VLOOKUP(A93,Base!B:D,3,0)</f>
        <v>NICOLE BARÃO RAFFS</v>
      </c>
      <c r="E93" s="23" t="str">
        <f>VLOOKUP($A93,Base!B:E,4,0)</f>
        <v>020.621.669-66</v>
      </c>
      <c r="F93" s="24" t="str">
        <f>VLOOKUP($A93,Base!B:F,5,0)</f>
        <v>RECIBO</v>
      </c>
      <c r="G93" s="23"/>
      <c r="H93" s="17" t="s">
        <v>81</v>
      </c>
      <c r="I93" s="19"/>
      <c r="J93" s="20">
        <v>270</v>
      </c>
      <c r="K93" s="21">
        <f t="shared" si="1"/>
        <v>-9705.9000000001197</v>
      </c>
    </row>
    <row r="94" spans="1:11" ht="12" customHeight="1" x14ac:dyDescent="0.25">
      <c r="A94" s="28">
        <v>13</v>
      </c>
      <c r="B94" s="14">
        <v>43525</v>
      </c>
      <c r="C94" s="15" t="str">
        <f>VLOOKUP(A94,Base!B:C,2,0)</f>
        <v>3.1.90.46.03 - AUXÍLIO-ALIMENTAÇÃO</v>
      </c>
      <c r="D94" s="15" t="s">
        <v>33</v>
      </c>
      <c r="E94" s="23" t="s">
        <v>34</v>
      </c>
      <c r="F94" s="24" t="str">
        <f>VLOOKUP($A94,Base!B:F,5,0)</f>
        <v>RECIBO</v>
      </c>
      <c r="G94" s="23"/>
      <c r="H94" s="17" t="s">
        <v>81</v>
      </c>
      <c r="I94" s="19"/>
      <c r="J94" s="20">
        <v>270</v>
      </c>
      <c r="K94" s="21">
        <f t="shared" si="1"/>
        <v>-9975.9000000001197</v>
      </c>
    </row>
    <row r="95" spans="1:11" ht="12" customHeight="1" x14ac:dyDescent="0.25">
      <c r="A95" s="28">
        <v>13</v>
      </c>
      <c r="B95" s="14">
        <v>43525</v>
      </c>
      <c r="C95" s="15" t="str">
        <f>VLOOKUP(A95,Base!B:C,2,0)</f>
        <v>3.1.90.46.03 - AUXÍLIO-ALIMENTAÇÃO</v>
      </c>
      <c r="D95" s="15" t="s">
        <v>36</v>
      </c>
      <c r="E95" s="23" t="s">
        <v>37</v>
      </c>
      <c r="F95" s="24" t="str">
        <f>VLOOKUP($A95,Base!B:F,5,0)</f>
        <v>RECIBO</v>
      </c>
      <c r="G95" s="23"/>
      <c r="H95" s="17" t="s">
        <v>81</v>
      </c>
      <c r="I95" s="19"/>
      <c r="J95" s="20">
        <v>270</v>
      </c>
      <c r="K95" s="21">
        <f t="shared" si="1"/>
        <v>-10245.90000000012</v>
      </c>
    </row>
    <row r="96" spans="1:11" ht="12" customHeight="1" x14ac:dyDescent="0.25">
      <c r="A96" s="28">
        <v>13</v>
      </c>
      <c r="B96" s="14">
        <v>43525</v>
      </c>
      <c r="C96" s="15" t="str">
        <f>VLOOKUP(A96,Base!B:C,2,0)</f>
        <v>3.1.90.46.03 - AUXÍLIO-ALIMENTAÇÃO</v>
      </c>
      <c r="D96" s="15" t="s">
        <v>14</v>
      </c>
      <c r="E96" s="23" t="s">
        <v>15</v>
      </c>
      <c r="F96" s="24" t="str">
        <f>VLOOKUP($A96,Base!B:F,5,0)</f>
        <v>RECIBO</v>
      </c>
      <c r="G96" s="23"/>
      <c r="H96" s="17" t="s">
        <v>81</v>
      </c>
      <c r="I96" s="19"/>
      <c r="J96" s="20">
        <v>270</v>
      </c>
      <c r="K96" s="21">
        <f t="shared" si="1"/>
        <v>-10515.90000000012</v>
      </c>
    </row>
    <row r="97" spans="1:11" ht="12" customHeight="1" x14ac:dyDescent="0.25">
      <c r="A97" s="28">
        <v>13</v>
      </c>
      <c r="B97" s="14">
        <v>43525</v>
      </c>
      <c r="C97" s="15" t="str">
        <f>VLOOKUP(A97,Base!B:C,2,0)</f>
        <v>3.1.90.46.03 - AUXÍLIO-ALIMENTAÇÃO</v>
      </c>
      <c r="D97" s="15" t="s">
        <v>82</v>
      </c>
      <c r="E97" s="23" t="s">
        <v>83</v>
      </c>
      <c r="F97" s="24" t="str">
        <f>VLOOKUP($A97,Base!B:F,5,0)</f>
        <v>RECIBO</v>
      </c>
      <c r="G97" s="23"/>
      <c r="H97" s="17" t="s">
        <v>81</v>
      </c>
      <c r="I97" s="19"/>
      <c r="J97" s="20">
        <v>15</v>
      </c>
      <c r="K97" s="21">
        <f t="shared" si="1"/>
        <v>-10530.90000000012</v>
      </c>
    </row>
    <row r="98" spans="1:11" ht="12" customHeight="1" x14ac:dyDescent="0.25">
      <c r="A98" s="28">
        <v>13</v>
      </c>
      <c r="B98" s="14">
        <v>43525</v>
      </c>
      <c r="C98" s="15" t="str">
        <f>VLOOKUP(A98,Base!B:C,2,0)</f>
        <v>3.1.90.46.03 - AUXÍLIO-ALIMENTAÇÃO</v>
      </c>
      <c r="D98" s="15" t="s">
        <v>84</v>
      </c>
      <c r="E98" s="23" t="s">
        <v>85</v>
      </c>
      <c r="F98" s="24" t="str">
        <f>VLOOKUP($A98,Base!B:F,5,0)</f>
        <v>RECIBO</v>
      </c>
      <c r="G98" s="23"/>
      <c r="H98" s="17" t="s">
        <v>81</v>
      </c>
      <c r="I98" s="19"/>
      <c r="J98" s="20">
        <v>15</v>
      </c>
      <c r="K98" s="21">
        <f t="shared" si="1"/>
        <v>-10545.90000000012</v>
      </c>
    </row>
    <row r="99" spans="1:11" ht="12" customHeight="1" x14ac:dyDescent="0.25">
      <c r="A99" s="28">
        <v>14</v>
      </c>
      <c r="B99" s="14">
        <v>43525</v>
      </c>
      <c r="C99" s="15" t="str">
        <f>VLOOKUP(A99,Base!B:C,2,0)</f>
        <v>3.3.90.39.39 - ENCARGOS FINANCEIROS INDEDUTÍVEIS</v>
      </c>
      <c r="D99" s="15" t="str">
        <f>VLOOKUP(A99,Base!B:D,3,0)</f>
        <v>BANCO DO BRASIL</v>
      </c>
      <c r="E99" s="23">
        <f>VLOOKUP($A99,Base!B:E,4,0)</f>
        <v>191</v>
      </c>
      <c r="F99" s="24" t="str">
        <f>VLOOKUP($A99,Base!B:F,5,0)</f>
        <v>AVISO DE DÉBITO</v>
      </c>
      <c r="G99" s="23"/>
      <c r="H99" s="17" t="s">
        <v>86</v>
      </c>
      <c r="I99" s="19"/>
      <c r="J99" s="20">
        <v>10.18</v>
      </c>
      <c r="K99" s="21">
        <f t="shared" si="1"/>
        <v>-10556.08000000012</v>
      </c>
    </row>
    <row r="100" spans="1:11" ht="12" customHeight="1" x14ac:dyDescent="0.25">
      <c r="A100" s="28">
        <v>14</v>
      </c>
      <c r="B100" s="14">
        <v>43525</v>
      </c>
      <c r="C100" s="15" t="str">
        <f>VLOOKUP(A100,Base!B:C,2,0)</f>
        <v>3.3.90.39.39 - ENCARGOS FINANCEIROS INDEDUTÍVEIS</v>
      </c>
      <c r="D100" s="15" t="str">
        <f>VLOOKUP(A100,Base!B:D,3,0)</f>
        <v>BANCO DO BRASIL</v>
      </c>
      <c r="E100" s="23">
        <f>VLOOKUP($A100,Base!B:E,4,0)</f>
        <v>191</v>
      </c>
      <c r="F100" s="24" t="str">
        <f>VLOOKUP($A100,Base!B:F,5,0)</f>
        <v>AVISO DE DÉBITO</v>
      </c>
      <c r="G100" s="23"/>
      <c r="H100" s="17" t="s">
        <v>86</v>
      </c>
      <c r="I100" s="19"/>
      <c r="J100" s="20">
        <v>10.18</v>
      </c>
      <c r="K100" s="21">
        <f t="shared" si="1"/>
        <v>-10566.26000000012</v>
      </c>
    </row>
    <row r="101" spans="1:11" ht="12" customHeight="1" x14ac:dyDescent="0.25">
      <c r="A101" s="28">
        <v>14</v>
      </c>
      <c r="B101" s="14">
        <v>43525</v>
      </c>
      <c r="C101" s="15" t="str">
        <f>VLOOKUP(A101,Base!B:C,2,0)</f>
        <v>3.3.90.39.39 - ENCARGOS FINANCEIROS INDEDUTÍVEIS</v>
      </c>
      <c r="D101" s="15" t="str">
        <f>VLOOKUP(A101,Base!B:D,3,0)</f>
        <v>BANCO DO BRASIL</v>
      </c>
      <c r="E101" s="23">
        <f>VLOOKUP($A101,Base!B:E,4,0)</f>
        <v>191</v>
      </c>
      <c r="F101" s="24" t="str">
        <f>VLOOKUP($A101,Base!B:F,5,0)</f>
        <v>AVISO DE DÉBITO</v>
      </c>
      <c r="G101" s="23"/>
      <c r="H101" s="17" t="s">
        <v>67</v>
      </c>
      <c r="I101" s="19"/>
      <c r="J101" s="20">
        <v>5.7</v>
      </c>
      <c r="K101" s="21">
        <f t="shared" si="1"/>
        <v>-10571.960000000121</v>
      </c>
    </row>
    <row r="102" spans="1:11" ht="12" customHeight="1" x14ac:dyDescent="0.25">
      <c r="A102" s="28">
        <v>14</v>
      </c>
      <c r="B102" s="14">
        <v>43525</v>
      </c>
      <c r="C102" s="15" t="str">
        <f>VLOOKUP(A102,Base!B:C,2,0)</f>
        <v>3.3.90.39.39 - ENCARGOS FINANCEIROS INDEDUTÍVEIS</v>
      </c>
      <c r="D102" s="15" t="str">
        <f>VLOOKUP(A102,Base!B:D,3,0)</f>
        <v>BANCO DO BRASIL</v>
      </c>
      <c r="E102" s="23">
        <f>VLOOKUP($A102,Base!B:E,4,0)</f>
        <v>191</v>
      </c>
      <c r="F102" s="24" t="str">
        <f>VLOOKUP($A102,Base!B:F,5,0)</f>
        <v>AVISO DE DÉBITO</v>
      </c>
      <c r="G102" s="23"/>
      <c r="H102" s="17" t="s">
        <v>67</v>
      </c>
      <c r="I102" s="19"/>
      <c r="J102" s="20">
        <v>5.7</v>
      </c>
      <c r="K102" s="21">
        <f t="shared" si="1"/>
        <v>-10577.660000000122</v>
      </c>
    </row>
    <row r="103" spans="1:11" ht="12" customHeight="1" x14ac:dyDescent="0.25">
      <c r="A103" s="28">
        <v>5</v>
      </c>
      <c r="B103" s="14">
        <v>43525</v>
      </c>
      <c r="C103" s="15" t="str">
        <f>VLOOKUP(A103,Base!B:C,2,0)</f>
        <v>RESGATE APLICAÇÃO</v>
      </c>
      <c r="D103" s="15" t="str">
        <f>VLOOKUP(A103,Base!B:D,3,0)</f>
        <v>PALCOPARANÁ</v>
      </c>
      <c r="E103" s="23" t="str">
        <f>VLOOKUP($A103,Base!B:E,4,0)</f>
        <v>25.298.788/0001-95</v>
      </c>
      <c r="F103" s="24">
        <f>VLOOKUP($A103,Base!B:F,5,0)</f>
        <v>0</v>
      </c>
      <c r="G103" s="23"/>
      <c r="H103" s="17" t="s">
        <v>13</v>
      </c>
      <c r="I103" s="19">
        <v>11000</v>
      </c>
      <c r="J103" s="20"/>
      <c r="K103" s="21">
        <f t="shared" si="1"/>
        <v>422.33999999987827</v>
      </c>
    </row>
    <row r="104" spans="1:11" ht="12" customHeight="1" x14ac:dyDescent="0.25">
      <c r="A104" s="28">
        <v>5</v>
      </c>
      <c r="B104" s="14">
        <v>43525</v>
      </c>
      <c r="C104" s="15" t="str">
        <f>VLOOKUP(A104,Base!B:C,2,0)</f>
        <v>RESGATE APLICAÇÃO</v>
      </c>
      <c r="D104" s="15" t="str">
        <f>VLOOKUP(A104,Base!B:D,3,0)</f>
        <v>PALCOPARANÁ</v>
      </c>
      <c r="E104" s="23" t="str">
        <f>VLOOKUP($A104,Base!B:E,4,0)</f>
        <v>25.298.788/0001-95</v>
      </c>
      <c r="F104" s="24">
        <f>VLOOKUP($A104,Base!B:F,5,0)</f>
        <v>0</v>
      </c>
      <c r="G104" s="23"/>
      <c r="H104" s="17" t="s">
        <v>13</v>
      </c>
      <c r="I104" s="19">
        <v>38.06</v>
      </c>
      <c r="J104" s="20"/>
      <c r="K104" s="21">
        <f t="shared" si="1"/>
        <v>460.39999999987828</v>
      </c>
    </row>
    <row r="105" spans="1:11" ht="12" customHeight="1" x14ac:dyDescent="0.25">
      <c r="A105" s="28">
        <v>7</v>
      </c>
      <c r="B105" s="14">
        <v>43530</v>
      </c>
      <c r="C105" s="15" t="str">
        <f>VLOOKUP(A105,Base!B:C,2,0)</f>
        <v>3.3.90.39.05 - SERVIÇOS TÉCNICOS PROFISSIONAIS</v>
      </c>
      <c r="D105" s="15" t="str">
        <f>VLOOKUP(A105,Base!B:D,3,0)</f>
        <v>SBSC CONTADORES ASSOCIADOS LTDA</v>
      </c>
      <c r="E105" s="23" t="str">
        <f>VLOOKUP($A105,Base!B:E,4,0)</f>
        <v>05.377.113/0001-24</v>
      </c>
      <c r="F105" s="24" t="str">
        <f>VLOOKUP($A105,Base!B:F,5,0)</f>
        <v>NFS-e</v>
      </c>
      <c r="G105" s="23"/>
      <c r="H105" s="17" t="s">
        <v>87</v>
      </c>
      <c r="I105" s="19"/>
      <c r="J105" s="20">
        <v>2166.66</v>
      </c>
      <c r="K105" s="21">
        <f t="shared" si="1"/>
        <v>-1706.2600000001216</v>
      </c>
    </row>
    <row r="106" spans="1:11" ht="12" customHeight="1" x14ac:dyDescent="0.25">
      <c r="A106" s="28">
        <v>5</v>
      </c>
      <c r="B106" s="14">
        <v>43530</v>
      </c>
      <c r="C106" s="15" t="str">
        <f>VLOOKUP(A106,Base!B:C,2,0)</f>
        <v>RESGATE APLICAÇÃO</v>
      </c>
      <c r="D106" s="15" t="str">
        <f>VLOOKUP(A106,Base!B:D,3,0)</f>
        <v>PALCOPARANÁ</v>
      </c>
      <c r="E106" s="23" t="str">
        <f>VLOOKUP($A106,Base!B:E,4,0)</f>
        <v>25.298.788/0001-95</v>
      </c>
      <c r="F106" s="24">
        <f>VLOOKUP($A106,Base!B:F,5,0)</f>
        <v>0</v>
      </c>
      <c r="G106" s="23"/>
      <c r="H106" s="17" t="s">
        <v>13</v>
      </c>
      <c r="I106" s="19">
        <v>2000</v>
      </c>
      <c r="J106" s="20"/>
      <c r="K106" s="21">
        <f t="shared" si="1"/>
        <v>293.73999999987836</v>
      </c>
    </row>
    <row r="107" spans="1:11" ht="12" customHeight="1" x14ac:dyDescent="0.25">
      <c r="A107" s="28">
        <v>5</v>
      </c>
      <c r="B107" s="14">
        <v>43530</v>
      </c>
      <c r="C107" s="15" t="str">
        <f>VLOOKUP(A107,Base!B:C,2,0)</f>
        <v>RESGATE APLICAÇÃO</v>
      </c>
      <c r="D107" s="15" t="str">
        <f>VLOOKUP(A107,Base!B:D,3,0)</f>
        <v>PALCOPARANÁ</v>
      </c>
      <c r="E107" s="23" t="str">
        <f>VLOOKUP($A107,Base!B:E,4,0)</f>
        <v>25.298.788/0001-95</v>
      </c>
      <c r="F107" s="24">
        <f>VLOOKUP($A107,Base!B:F,5,0)</f>
        <v>0</v>
      </c>
      <c r="G107" s="23"/>
      <c r="H107" s="17" t="s">
        <v>13</v>
      </c>
      <c r="I107" s="19">
        <v>7.4</v>
      </c>
      <c r="J107" s="20"/>
      <c r="K107" s="21">
        <f t="shared" si="1"/>
        <v>301.13999999987834</v>
      </c>
    </row>
    <row r="108" spans="1:11" ht="12" customHeight="1" x14ac:dyDescent="0.25">
      <c r="A108" s="28">
        <v>10</v>
      </c>
      <c r="B108" s="14">
        <v>43531</v>
      </c>
      <c r="C108" s="15" t="str">
        <f>VLOOKUP(A108,Base!B:C,2,0)</f>
        <v>3.1.90.13.02 - FGTS</v>
      </c>
      <c r="D108" s="15" t="str">
        <f>VLOOKUP(A108,Base!B:D,3,0)</f>
        <v>CAIXA ECONÔMICA FEDERAL</v>
      </c>
      <c r="E108" s="23">
        <f>VLOOKUP($A108,Base!B:E,4,0)</f>
        <v>0</v>
      </c>
      <c r="F108" s="24" t="str">
        <f>VLOOKUP($A108,Base!B:F,5,0)</f>
        <v>GUIA GRRF</v>
      </c>
      <c r="G108" s="23"/>
      <c r="H108" s="17" t="s">
        <v>88</v>
      </c>
      <c r="I108" s="19"/>
      <c r="J108" s="20">
        <v>19758.89</v>
      </c>
      <c r="K108" s="21">
        <f t="shared" si="1"/>
        <v>-19457.75000000012</v>
      </c>
    </row>
    <row r="109" spans="1:11" ht="12" customHeight="1" x14ac:dyDescent="0.25">
      <c r="A109" s="28">
        <v>5</v>
      </c>
      <c r="B109" s="14">
        <v>43531</v>
      </c>
      <c r="C109" s="15" t="str">
        <f>VLOOKUP(A109,Base!B:C,2,0)</f>
        <v>RESGATE APLICAÇÃO</v>
      </c>
      <c r="D109" s="15" t="str">
        <f>VLOOKUP(A109,Base!B:D,3,0)</f>
        <v>PALCOPARANÁ</v>
      </c>
      <c r="E109" s="23" t="str">
        <f>VLOOKUP($A109,Base!B:E,4,0)</f>
        <v>25.298.788/0001-95</v>
      </c>
      <c r="F109" s="24">
        <f>VLOOKUP($A109,Base!B:F,5,0)</f>
        <v>0</v>
      </c>
      <c r="G109" s="23"/>
      <c r="H109" s="17" t="s">
        <v>13</v>
      </c>
      <c r="I109" s="19">
        <v>19500</v>
      </c>
      <c r="J109" s="20"/>
      <c r="K109" s="21">
        <f t="shared" si="1"/>
        <v>42.249999999879947</v>
      </c>
    </row>
    <row r="110" spans="1:11" ht="12" customHeight="1" x14ac:dyDescent="0.25">
      <c r="A110" s="28">
        <v>5</v>
      </c>
      <c r="B110" s="14">
        <v>43531</v>
      </c>
      <c r="C110" s="15" t="str">
        <f>VLOOKUP(A110,Base!B:C,2,0)</f>
        <v>RESGATE APLICAÇÃO</v>
      </c>
      <c r="D110" s="15" t="str">
        <f>VLOOKUP(A110,Base!B:D,3,0)</f>
        <v>PALCOPARANÁ</v>
      </c>
      <c r="E110" s="23" t="str">
        <f>VLOOKUP($A110,Base!B:E,4,0)</f>
        <v>25.298.788/0001-95</v>
      </c>
      <c r="F110" s="24">
        <f>VLOOKUP($A110,Base!B:F,5,0)</f>
        <v>0</v>
      </c>
      <c r="G110" s="23"/>
      <c r="H110" s="17" t="s">
        <v>13</v>
      </c>
      <c r="I110" s="19">
        <v>76.83</v>
      </c>
      <c r="J110" s="20"/>
      <c r="K110" s="21">
        <f t="shared" si="1"/>
        <v>119.07999999987994</v>
      </c>
    </row>
    <row r="111" spans="1:11" ht="12" customHeight="1" x14ac:dyDescent="0.25">
      <c r="A111" s="28">
        <v>11</v>
      </c>
      <c r="B111" s="14">
        <v>43535</v>
      </c>
      <c r="C111" s="15" t="str">
        <f>VLOOKUP(A111,Base!B:C,2,0)</f>
        <v>3.3.90.30.47 - AQUISIÇÃO DE SOFTWARE DE BASE</v>
      </c>
      <c r="D111" s="25" t="s">
        <v>89</v>
      </c>
      <c r="E111" s="26" t="s">
        <v>90</v>
      </c>
      <c r="F111" s="24" t="str">
        <f>VLOOKUP($A111,Base!B:F,5,0)</f>
        <v>NF-e</v>
      </c>
      <c r="G111" s="23">
        <v>350214</v>
      </c>
      <c r="H111" s="17" t="s">
        <v>91</v>
      </c>
      <c r="I111" s="19"/>
      <c r="J111" s="20">
        <v>2199</v>
      </c>
      <c r="K111" s="21">
        <f t="shared" si="1"/>
        <v>-2079.9200000001201</v>
      </c>
    </row>
    <row r="112" spans="1:11" ht="12" customHeight="1" x14ac:dyDescent="0.25">
      <c r="A112" s="28">
        <v>13</v>
      </c>
      <c r="B112" s="14">
        <v>43535</v>
      </c>
      <c r="C112" s="15" t="str">
        <f>VLOOKUP(A112,Base!B:C,2,0)</f>
        <v>3.1.90.46.03 - AUXÍLIO-ALIMENTAÇÃO</v>
      </c>
      <c r="D112" s="15" t="s">
        <v>68</v>
      </c>
      <c r="E112" s="23" t="s">
        <v>69</v>
      </c>
      <c r="F112" s="24" t="str">
        <f>VLOOKUP($A112,Base!B:F,5,0)</f>
        <v>RECIBO</v>
      </c>
      <c r="G112" s="23"/>
      <c r="H112" s="17" t="s">
        <v>92</v>
      </c>
      <c r="I112" s="19"/>
      <c r="J112" s="20">
        <v>270</v>
      </c>
      <c r="K112" s="21">
        <f t="shared" si="1"/>
        <v>-2349.9200000001201</v>
      </c>
    </row>
    <row r="113" spans="1:11" ht="12" customHeight="1" x14ac:dyDescent="0.25">
      <c r="A113" s="28">
        <v>5</v>
      </c>
      <c r="B113" s="14">
        <v>43535</v>
      </c>
      <c r="C113" s="15" t="str">
        <f>VLOOKUP(A113,Base!B:C,2,0)</f>
        <v>RESGATE APLICAÇÃO</v>
      </c>
      <c r="D113" s="15" t="str">
        <f>VLOOKUP(A113,Base!B:D,3,0)</f>
        <v>PALCOPARANÁ</v>
      </c>
      <c r="E113" s="23" t="str">
        <f>VLOOKUP($A113,Base!B:E,4,0)</f>
        <v>25.298.788/0001-95</v>
      </c>
      <c r="F113" s="24">
        <f>VLOOKUP($A113,Base!B:F,5,0)</f>
        <v>0</v>
      </c>
      <c r="G113" s="23"/>
      <c r="H113" s="17" t="s">
        <v>13</v>
      </c>
      <c r="I113" s="19">
        <v>2500</v>
      </c>
      <c r="J113" s="20"/>
      <c r="K113" s="21">
        <f t="shared" si="1"/>
        <v>150.07999999987987</v>
      </c>
    </row>
    <row r="114" spans="1:11" ht="12" customHeight="1" x14ac:dyDescent="0.25">
      <c r="A114" s="28">
        <v>5</v>
      </c>
      <c r="B114" s="14">
        <v>43535</v>
      </c>
      <c r="C114" s="15" t="str">
        <f>VLOOKUP(A114,Base!B:C,2,0)</f>
        <v>RESGATE APLICAÇÃO</v>
      </c>
      <c r="D114" s="15" t="str">
        <f>VLOOKUP(A114,Base!B:D,3,0)</f>
        <v>PALCOPARANÁ</v>
      </c>
      <c r="E114" s="23" t="str">
        <f>VLOOKUP($A114,Base!B:E,4,0)</f>
        <v>25.298.788/0001-95</v>
      </c>
      <c r="F114" s="24">
        <f>VLOOKUP($A114,Base!B:F,5,0)</f>
        <v>0</v>
      </c>
      <c r="G114" s="23"/>
      <c r="H114" s="17" t="s">
        <v>13</v>
      </c>
      <c r="I114" s="19">
        <v>11</v>
      </c>
      <c r="J114" s="20"/>
      <c r="K114" s="21">
        <f t="shared" si="1"/>
        <v>161.07999999987987</v>
      </c>
    </row>
    <row r="115" spans="1:11" ht="12" customHeight="1" x14ac:dyDescent="0.25">
      <c r="A115" s="28">
        <v>4</v>
      </c>
      <c r="B115" s="14">
        <v>43538</v>
      </c>
      <c r="C115" s="15" t="str">
        <f>VLOOKUP(A115,Base!B:C,2,0)</f>
        <v>3.3.90.39.47 - SERVIÇO DE COMUNICAÇÃO EM GERAL</v>
      </c>
      <c r="D115" s="15" t="str">
        <f>VLOOKUP(A115,Base!B:D,3,0)</f>
        <v>DPTO DE IMPRENSA OFICIAL ESTADO DO PARANÁ</v>
      </c>
      <c r="E115" s="23" t="str">
        <f>VLOOKUP($A115,Base!B:E,4,0)</f>
        <v>76.437.383/0001-21</v>
      </c>
      <c r="F115" s="24" t="str">
        <f>VLOOKUP($A115,Base!B:F,5,0)</f>
        <v>NOTA FISCAL</v>
      </c>
      <c r="G115" s="23">
        <v>2019263083</v>
      </c>
      <c r="H115" s="17" t="s">
        <v>93</v>
      </c>
      <c r="I115" s="19"/>
      <c r="J115" s="20">
        <v>120</v>
      </c>
      <c r="K115" s="21">
        <f t="shared" si="1"/>
        <v>41.079999999879874</v>
      </c>
    </row>
    <row r="116" spans="1:11" ht="12" customHeight="1" x14ac:dyDescent="0.25">
      <c r="A116" s="28">
        <v>4</v>
      </c>
      <c r="B116" s="14">
        <v>43538</v>
      </c>
      <c r="C116" s="15" t="str">
        <f>VLOOKUP(A116,Base!B:C,2,0)</f>
        <v>3.3.90.39.47 - SERVIÇO DE COMUNICAÇÃO EM GERAL</v>
      </c>
      <c r="D116" s="15" t="str">
        <f>VLOOKUP(A116,Base!B:D,3,0)</f>
        <v>DPTO DE IMPRENSA OFICIAL ESTADO DO PARANÁ</v>
      </c>
      <c r="E116" s="23" t="str">
        <f>VLOOKUP($A116,Base!B:E,4,0)</f>
        <v>76.437.383/0001-21</v>
      </c>
      <c r="F116" s="24" t="str">
        <f>VLOOKUP($A116,Base!B:F,5,0)</f>
        <v>NOTA FISCAL</v>
      </c>
      <c r="G116" s="23">
        <v>2019263086</v>
      </c>
      <c r="H116" s="17" t="s">
        <v>94</v>
      </c>
      <c r="I116" s="19"/>
      <c r="J116" s="20">
        <v>630</v>
      </c>
      <c r="K116" s="21">
        <f t="shared" si="1"/>
        <v>-588.92000000012013</v>
      </c>
    </row>
    <row r="117" spans="1:11" ht="12" customHeight="1" x14ac:dyDescent="0.25">
      <c r="A117" s="28">
        <v>5</v>
      </c>
      <c r="B117" s="14">
        <v>43538</v>
      </c>
      <c r="C117" s="15" t="str">
        <f>VLOOKUP(A117,Base!B:C,2,0)</f>
        <v>RESGATE APLICAÇÃO</v>
      </c>
      <c r="D117" s="15" t="str">
        <f>VLOOKUP(A117,Base!B:D,3,0)</f>
        <v>PALCOPARANÁ</v>
      </c>
      <c r="E117" s="23" t="str">
        <f>VLOOKUP($A117,Base!B:E,4,0)</f>
        <v>25.298.788/0001-95</v>
      </c>
      <c r="F117" s="24">
        <f>VLOOKUP($A117,Base!B:F,5,0)</f>
        <v>0</v>
      </c>
      <c r="G117" s="23"/>
      <c r="H117" s="17" t="s">
        <v>13</v>
      </c>
      <c r="I117" s="19">
        <v>1000</v>
      </c>
      <c r="J117" s="20"/>
      <c r="K117" s="21">
        <f t="shared" si="1"/>
        <v>411.07999999987987</v>
      </c>
    </row>
    <row r="118" spans="1:11" ht="12" customHeight="1" x14ac:dyDescent="0.25">
      <c r="A118" s="28">
        <v>5</v>
      </c>
      <c r="B118" s="14">
        <v>43538</v>
      </c>
      <c r="C118" s="15" t="str">
        <f>VLOOKUP(A118,Base!B:C,2,0)</f>
        <v>RESGATE APLICAÇÃO</v>
      </c>
      <c r="D118" s="15" t="str">
        <f>VLOOKUP(A118,Base!B:D,3,0)</f>
        <v>PALCOPARANÁ</v>
      </c>
      <c r="E118" s="23" t="str">
        <f>VLOOKUP($A118,Base!B:E,4,0)</f>
        <v>25.298.788/0001-95</v>
      </c>
      <c r="F118" s="24">
        <f>VLOOKUP($A118,Base!B:F,5,0)</f>
        <v>0</v>
      </c>
      <c r="G118" s="23"/>
      <c r="H118" s="17" t="s">
        <v>13</v>
      </c>
      <c r="I118" s="19">
        <v>5.0999999999999996</v>
      </c>
      <c r="J118" s="20"/>
      <c r="K118" s="21">
        <f t="shared" si="1"/>
        <v>416.1799999998799</v>
      </c>
    </row>
    <row r="119" spans="1:11" ht="12" customHeight="1" x14ac:dyDescent="0.25">
      <c r="A119" s="28">
        <v>25</v>
      </c>
      <c r="B119" s="14">
        <v>43542</v>
      </c>
      <c r="C119" s="15" t="str">
        <f>VLOOKUP(A119,Base!B:C,2,0)</f>
        <v>3.3.90.40.04 - SERVIÇO DE PROCESSAMENTO DE DADOS</v>
      </c>
      <c r="D119" s="30" t="s">
        <v>95</v>
      </c>
      <c r="E119" s="31" t="s">
        <v>96</v>
      </c>
      <c r="F119" s="24" t="s">
        <v>97</v>
      </c>
      <c r="G119" s="23">
        <v>40348</v>
      </c>
      <c r="H119" s="17" t="s">
        <v>98</v>
      </c>
      <c r="I119" s="19"/>
      <c r="J119" s="20">
        <v>215.5</v>
      </c>
      <c r="K119" s="21">
        <f t="shared" si="1"/>
        <v>200.6799999998799</v>
      </c>
    </row>
    <row r="120" spans="1:11" ht="12" customHeight="1" x14ac:dyDescent="0.25">
      <c r="A120" s="28">
        <v>11</v>
      </c>
      <c r="B120" s="14">
        <v>43543</v>
      </c>
      <c r="C120" s="15" t="str">
        <f>VLOOKUP(A120,Base!B:C,2,0)</f>
        <v>3.3.90.30.47 - AQUISIÇÃO DE SOFTWARE DE BASE</v>
      </c>
      <c r="D120" s="32" t="s">
        <v>99</v>
      </c>
      <c r="E120" s="33" t="s">
        <v>100</v>
      </c>
      <c r="F120" s="24" t="str">
        <f>VLOOKUP($A120,Base!B:F,5,0)</f>
        <v>NF-e</v>
      </c>
      <c r="G120" s="23">
        <v>7714</v>
      </c>
      <c r="H120" s="17" t="s">
        <v>101</v>
      </c>
      <c r="I120" s="19"/>
      <c r="J120" s="20">
        <v>3900</v>
      </c>
      <c r="K120" s="21">
        <f t="shared" si="1"/>
        <v>-3699.3200000001202</v>
      </c>
    </row>
    <row r="121" spans="1:11" ht="12" customHeight="1" x14ac:dyDescent="0.25">
      <c r="A121" s="28">
        <v>9</v>
      </c>
      <c r="B121" s="14">
        <v>43543</v>
      </c>
      <c r="C121" s="15" t="str">
        <f>VLOOKUP(A121,Base!B:C,2,0)</f>
        <v>3.3.90.39.12 - LOCAÇÃO DE MÁQUINAS E EQUIPAMENTOS</v>
      </c>
      <c r="D121" s="15" t="str">
        <f>VLOOKUP(A121,Base!B:D,3,0)</f>
        <v>INTERATIVA SOLUÇÕES EM INFORMATICA LTDA</v>
      </c>
      <c r="E121" s="23" t="str">
        <f>VLOOKUP($A121,Base!B:E,4,0)</f>
        <v>04.192.385/0001-97</v>
      </c>
      <c r="F121" s="24" t="str">
        <f>VLOOKUP($A121,Base!B:F,5,0)</f>
        <v>NFS-e</v>
      </c>
      <c r="G121" s="23">
        <v>6749</v>
      </c>
      <c r="H121" s="17" t="s">
        <v>21</v>
      </c>
      <c r="I121" s="19"/>
      <c r="J121" s="20">
        <v>1294.44</v>
      </c>
      <c r="K121" s="21">
        <f t="shared" si="1"/>
        <v>-4993.7600000001203</v>
      </c>
    </row>
    <row r="122" spans="1:11" ht="12" customHeight="1" x14ac:dyDescent="0.25">
      <c r="A122" s="28">
        <v>5</v>
      </c>
      <c r="B122" s="14">
        <v>43543</v>
      </c>
      <c r="C122" s="15" t="str">
        <f>VLOOKUP(A122,Base!B:C,2,0)</f>
        <v>RESGATE APLICAÇÃO</v>
      </c>
      <c r="D122" s="15" t="str">
        <f>VLOOKUP(A122,Base!B:D,3,0)</f>
        <v>PALCOPARANÁ</v>
      </c>
      <c r="E122" s="23" t="str">
        <f>VLOOKUP($A122,Base!B:E,4,0)</f>
        <v>25.298.788/0001-95</v>
      </c>
      <c r="F122" s="24">
        <f>VLOOKUP($A122,Base!B:F,5,0)</f>
        <v>0</v>
      </c>
      <c r="G122" s="23"/>
      <c r="H122" s="17" t="s">
        <v>13</v>
      </c>
      <c r="I122" s="19">
        <v>5000</v>
      </c>
      <c r="J122" s="20"/>
      <c r="K122" s="21">
        <f t="shared" si="1"/>
        <v>6.2399999998797284</v>
      </c>
    </row>
    <row r="123" spans="1:11" ht="12" customHeight="1" x14ac:dyDescent="0.25">
      <c r="A123" s="28">
        <v>5</v>
      </c>
      <c r="B123" s="14">
        <v>43543</v>
      </c>
      <c r="C123" s="15" t="str">
        <f>VLOOKUP(A123,Base!B:C,2,0)</f>
        <v>RESGATE APLICAÇÃO</v>
      </c>
      <c r="D123" s="15" t="str">
        <f>VLOOKUP(A123,Base!B:D,3,0)</f>
        <v>PALCOPARANÁ</v>
      </c>
      <c r="E123" s="23" t="str">
        <f>VLOOKUP($A123,Base!B:E,4,0)</f>
        <v>25.298.788/0001-95</v>
      </c>
      <c r="F123" s="24">
        <f>VLOOKUP($A123,Base!B:F,5,0)</f>
        <v>0</v>
      </c>
      <c r="G123" s="23"/>
      <c r="H123" s="17" t="s">
        <v>13</v>
      </c>
      <c r="I123" s="19">
        <v>29</v>
      </c>
      <c r="J123" s="20"/>
      <c r="K123" s="21">
        <f t="shared" si="1"/>
        <v>35.239999999879728</v>
      </c>
    </row>
    <row r="124" spans="1:11" ht="12" customHeight="1" x14ac:dyDescent="0.25">
      <c r="A124" s="28">
        <v>16</v>
      </c>
      <c r="B124" s="14">
        <v>43544</v>
      </c>
      <c r="C124" s="15" t="str">
        <f>VLOOKUP(A124,Base!B:C,2,0)</f>
        <v>3.1.90.13.01- CONTRIBUIÇÕES PREVIDENCIÁRIAS - INSS</v>
      </c>
      <c r="D124" s="15" t="str">
        <f>VLOOKUP(A124,Base!B:D,3,0)</f>
        <v>FUNDO DO REGIME GERAL DE PREVIDENCIA SOCIAL</v>
      </c>
      <c r="E124" s="23" t="str">
        <f>VLOOKUP($A124,Base!B:E,4,0)</f>
        <v>16.727.230/0001-97</v>
      </c>
      <c r="F124" s="24" t="str">
        <f>VLOOKUP($A124,Base!B:F,5,0)</f>
        <v>GPS</v>
      </c>
      <c r="G124" s="23"/>
      <c r="H124" s="17" t="s">
        <v>102</v>
      </c>
      <c r="I124" s="19"/>
      <c r="J124" s="20">
        <v>91292.6</v>
      </c>
      <c r="K124" s="21">
        <f t="shared" si="1"/>
        <v>-91257.360000000132</v>
      </c>
    </row>
    <row r="125" spans="1:11" ht="12" customHeight="1" x14ac:dyDescent="0.25">
      <c r="A125" s="28">
        <v>15</v>
      </c>
      <c r="B125" s="14">
        <v>43544</v>
      </c>
      <c r="C125" s="15" t="str">
        <f>VLOOKUP(A125,Base!B:C,2,0)</f>
        <v>3.1.90.11.61 - VENCIMENTOS E SALÁRIOS</v>
      </c>
      <c r="D125" s="15" t="str">
        <f>VLOOKUP(A125,Base!B:D,3,0)</f>
        <v>MINISTÉRIO DA FAZENDA - UNIÃO</v>
      </c>
      <c r="E125" s="23">
        <f>VLOOKUP($A125,Base!B:E,4,0)</f>
        <v>0</v>
      </c>
      <c r="F125" s="24" t="str">
        <f>VLOOKUP($A125,Base!B:F,5,0)</f>
        <v>DARF IRRF</v>
      </c>
      <c r="G125" s="23"/>
      <c r="H125" s="17" t="s">
        <v>103</v>
      </c>
      <c r="I125" s="19"/>
      <c r="J125" s="20">
        <v>4840.91</v>
      </c>
      <c r="K125" s="21">
        <f t="shared" si="1"/>
        <v>-96098.270000000135</v>
      </c>
    </row>
    <row r="126" spans="1:11" ht="12" customHeight="1" x14ac:dyDescent="0.25">
      <c r="A126" s="28">
        <v>5</v>
      </c>
      <c r="B126" s="14">
        <v>43544</v>
      </c>
      <c r="C126" s="15" t="str">
        <f>VLOOKUP(A126,Base!B:C,2,0)</f>
        <v>RESGATE APLICAÇÃO</v>
      </c>
      <c r="D126" s="15" t="str">
        <f>VLOOKUP(A126,Base!B:D,3,0)</f>
        <v>PALCOPARANÁ</v>
      </c>
      <c r="E126" s="23" t="str">
        <f>VLOOKUP($A126,Base!B:E,4,0)</f>
        <v>25.298.788/0001-95</v>
      </c>
      <c r="F126" s="24">
        <f>VLOOKUP($A126,Base!B:F,5,0)</f>
        <v>0</v>
      </c>
      <c r="G126" s="23"/>
      <c r="H126" s="17" t="s">
        <v>13</v>
      </c>
      <c r="I126" s="19">
        <v>96500</v>
      </c>
      <c r="J126" s="20"/>
      <c r="K126" s="21">
        <f t="shared" si="1"/>
        <v>401.72999999986496</v>
      </c>
    </row>
    <row r="127" spans="1:11" ht="12" customHeight="1" x14ac:dyDescent="0.25">
      <c r="A127" s="28">
        <v>5</v>
      </c>
      <c r="B127" s="14">
        <v>43544</v>
      </c>
      <c r="C127" s="15" t="str">
        <f>VLOOKUP(A127,Base!B:C,2,0)</f>
        <v>RESGATE APLICAÇÃO</v>
      </c>
      <c r="D127" s="15" t="str">
        <f>VLOOKUP(A127,Base!B:D,3,0)</f>
        <v>PALCOPARANÁ</v>
      </c>
      <c r="E127" s="23" t="str">
        <f>VLOOKUP($A127,Base!B:E,4,0)</f>
        <v>25.298.788/0001-95</v>
      </c>
      <c r="F127" s="24">
        <f>VLOOKUP($A127,Base!B:F,5,0)</f>
        <v>0</v>
      </c>
      <c r="G127" s="23"/>
      <c r="H127" s="17" t="s">
        <v>13</v>
      </c>
      <c r="I127" s="19">
        <v>580.92999999999995</v>
      </c>
      <c r="J127" s="20"/>
      <c r="K127" s="21">
        <f t="shared" si="1"/>
        <v>982.65999999986491</v>
      </c>
    </row>
    <row r="128" spans="1:11" ht="12" customHeight="1" x14ac:dyDescent="0.25">
      <c r="A128" s="28">
        <v>17</v>
      </c>
      <c r="B128" s="14">
        <v>43545</v>
      </c>
      <c r="C128" s="15" t="str">
        <f>VLOOKUP(A128,Base!B:C,2,0)</f>
        <v>3.3.90.39.05 - SERVIÇOS TÉCNICOS PROFISSIONAIS</v>
      </c>
      <c r="D128" s="25" t="s">
        <v>74</v>
      </c>
      <c r="E128" s="26" t="s">
        <v>75</v>
      </c>
      <c r="F128" s="24" t="str">
        <f>VLOOKUP($A128,Base!B:F,5,0)</f>
        <v>NFS-e</v>
      </c>
      <c r="G128" s="23"/>
      <c r="H128" s="17" t="s">
        <v>77</v>
      </c>
      <c r="I128" s="19"/>
      <c r="J128" s="20">
        <v>5890</v>
      </c>
      <c r="K128" s="21">
        <f t="shared" si="1"/>
        <v>-4907.3400000001348</v>
      </c>
    </row>
    <row r="129" spans="1:11" ht="12" customHeight="1" x14ac:dyDescent="0.25">
      <c r="A129" s="28">
        <v>5</v>
      </c>
      <c r="B129" s="14">
        <v>43545</v>
      </c>
      <c r="C129" s="15" t="str">
        <f>VLOOKUP(A129,Base!B:C,2,0)</f>
        <v>RESGATE APLICAÇÃO</v>
      </c>
      <c r="D129" s="15" t="str">
        <f>VLOOKUP(A129,Base!B:D,3,0)</f>
        <v>PALCOPARANÁ</v>
      </c>
      <c r="E129" s="23" t="str">
        <f>VLOOKUP($A129,Base!B:E,4,0)</f>
        <v>25.298.788/0001-95</v>
      </c>
      <c r="F129" s="24">
        <f>VLOOKUP($A129,Base!B:F,5,0)</f>
        <v>0</v>
      </c>
      <c r="G129" s="23"/>
      <c r="H129" s="17" t="s">
        <v>13</v>
      </c>
      <c r="I129" s="19">
        <v>5000</v>
      </c>
      <c r="J129" s="20"/>
      <c r="K129" s="21">
        <f t="shared" si="1"/>
        <v>92.659999999865249</v>
      </c>
    </row>
    <row r="130" spans="1:11" ht="12" customHeight="1" x14ac:dyDescent="0.25">
      <c r="A130" s="28">
        <v>5</v>
      </c>
      <c r="B130" s="14">
        <v>43545</v>
      </c>
      <c r="C130" s="15" t="str">
        <f>VLOOKUP(A130,Base!B:C,2,0)</f>
        <v>RESGATE APLICAÇÃO</v>
      </c>
      <c r="D130" s="15" t="str">
        <f>VLOOKUP(A130,Base!B:D,3,0)</f>
        <v>PALCOPARANÁ</v>
      </c>
      <c r="E130" s="23" t="str">
        <f>VLOOKUP($A130,Base!B:E,4,0)</f>
        <v>25.298.788/0001-95</v>
      </c>
      <c r="F130" s="24">
        <f>VLOOKUP($A130,Base!B:F,5,0)</f>
        <v>0</v>
      </c>
      <c r="G130" s="23"/>
      <c r="H130" s="17" t="s">
        <v>13</v>
      </c>
      <c r="I130" s="19">
        <v>31.3</v>
      </c>
      <c r="J130" s="20"/>
      <c r="K130" s="21">
        <f t="shared" si="1"/>
        <v>123.95999999986525</v>
      </c>
    </row>
    <row r="131" spans="1:11" ht="12" customHeight="1" x14ac:dyDescent="0.25">
      <c r="A131" s="28">
        <v>4</v>
      </c>
      <c r="B131" s="14">
        <v>43546</v>
      </c>
      <c r="C131" s="15" t="str">
        <f>VLOOKUP(A131,Base!B:C,2,0)</f>
        <v>3.3.90.39.47 - SERVIÇO DE COMUNICAÇÃO EM GERAL</v>
      </c>
      <c r="D131" s="15" t="str">
        <f>VLOOKUP(A131,Base!B:D,3,0)</f>
        <v>DPTO DE IMPRENSA OFICIAL ESTADO DO PARANÁ</v>
      </c>
      <c r="E131" s="23" t="str">
        <f>VLOOKUP($A131,Base!B:E,4,0)</f>
        <v>76.437.383/0001-21</v>
      </c>
      <c r="F131" s="24" t="str">
        <f>VLOOKUP($A131,Base!B:F,5,0)</f>
        <v>NOTA FISCAL</v>
      </c>
      <c r="G131" s="23">
        <v>2019264145</v>
      </c>
      <c r="H131" s="17" t="s">
        <v>104</v>
      </c>
      <c r="I131" s="19"/>
      <c r="J131" s="20">
        <v>240</v>
      </c>
      <c r="K131" s="21">
        <f t="shared" ref="K131:K194" si="2">K130+I131-J131</f>
        <v>-116.04000000013475</v>
      </c>
    </row>
    <row r="132" spans="1:11" ht="12" customHeight="1" x14ac:dyDescent="0.25">
      <c r="A132" s="28">
        <v>5</v>
      </c>
      <c r="B132" s="14">
        <v>43546</v>
      </c>
      <c r="C132" s="15" t="str">
        <f>VLOOKUP(A132,Base!B:C,2,0)</f>
        <v>RESGATE APLICAÇÃO</v>
      </c>
      <c r="D132" s="15" t="str">
        <f>VLOOKUP(A132,Base!B:D,3,0)</f>
        <v>PALCOPARANÁ</v>
      </c>
      <c r="E132" s="23" t="str">
        <f>VLOOKUP($A132,Base!B:E,4,0)</f>
        <v>25.298.788/0001-95</v>
      </c>
      <c r="F132" s="24">
        <f>VLOOKUP($A132,Base!B:F,5,0)</f>
        <v>0</v>
      </c>
      <c r="G132" s="23"/>
      <c r="H132" s="17" t="s">
        <v>13</v>
      </c>
      <c r="I132" s="19">
        <v>500</v>
      </c>
      <c r="J132" s="20"/>
      <c r="K132" s="21">
        <f t="shared" si="2"/>
        <v>383.95999999986526</v>
      </c>
    </row>
    <row r="133" spans="1:11" ht="12" customHeight="1" x14ac:dyDescent="0.25">
      <c r="A133" s="28">
        <v>5</v>
      </c>
      <c r="B133" s="14">
        <v>43546</v>
      </c>
      <c r="C133" s="15" t="str">
        <f>VLOOKUP(A133,Base!B:C,2,0)</f>
        <v>RESGATE APLICAÇÃO</v>
      </c>
      <c r="D133" s="15" t="str">
        <f>VLOOKUP(A133,Base!B:D,3,0)</f>
        <v>PALCOPARANÁ</v>
      </c>
      <c r="E133" s="23" t="str">
        <f>VLOOKUP($A133,Base!B:E,4,0)</f>
        <v>25.298.788/0001-95</v>
      </c>
      <c r="F133" s="24">
        <f>VLOOKUP($A133,Base!B:F,5,0)</f>
        <v>0</v>
      </c>
      <c r="G133" s="23"/>
      <c r="H133" s="17" t="s">
        <v>13</v>
      </c>
      <c r="I133" s="19">
        <v>3.25</v>
      </c>
      <c r="J133" s="20"/>
      <c r="K133" s="21">
        <f t="shared" si="2"/>
        <v>387.20999999986526</v>
      </c>
    </row>
    <row r="134" spans="1:11" ht="12" customHeight="1" x14ac:dyDescent="0.25">
      <c r="A134" s="28">
        <v>20</v>
      </c>
      <c r="B134" s="14">
        <v>43549</v>
      </c>
      <c r="C134" s="15" t="str">
        <f>VLOOKUP(A134,Base!B:C,2,0)</f>
        <v>3.1.90.47.01 - PIS/PASEP</v>
      </c>
      <c r="D134" s="15" t="str">
        <f>VLOOKUP(A134,Base!B:D,3,0)</f>
        <v>MINISTÉRIO DA FAZENDA - UNIÃO</v>
      </c>
      <c r="E134" s="23" t="str">
        <f>VLOOKUP($A134,Base!B:E,4,0)</f>
        <v>25.298.788/0001-95 -8301</v>
      </c>
      <c r="F134" s="24" t="str">
        <f>VLOOKUP($A134,Base!B:F,5,0)</f>
        <v>DARF PIS</v>
      </c>
      <c r="G134" s="23"/>
      <c r="H134" s="17" t="s">
        <v>105</v>
      </c>
      <c r="I134" s="19"/>
      <c r="J134" s="20">
        <v>2469.86</v>
      </c>
      <c r="K134" s="21">
        <f t="shared" si="2"/>
        <v>-2082.6500000001347</v>
      </c>
    </row>
    <row r="135" spans="1:11" ht="12" customHeight="1" x14ac:dyDescent="0.25">
      <c r="A135" s="28">
        <v>5</v>
      </c>
      <c r="B135" s="14">
        <v>43549</v>
      </c>
      <c r="C135" s="15" t="str">
        <f>VLOOKUP(A135,Base!B:C,2,0)</f>
        <v>RESGATE APLICAÇÃO</v>
      </c>
      <c r="D135" s="15" t="str">
        <f>VLOOKUP(A135,Base!B:D,3,0)</f>
        <v>PALCOPARANÁ</v>
      </c>
      <c r="E135" s="23" t="str">
        <f>VLOOKUP($A135,Base!B:E,4,0)</f>
        <v>25.298.788/0001-95</v>
      </c>
      <c r="F135" s="24">
        <f>VLOOKUP($A135,Base!B:F,5,0)</f>
        <v>0</v>
      </c>
      <c r="G135" s="23"/>
      <c r="H135" s="17" t="s">
        <v>13</v>
      </c>
      <c r="I135" s="19">
        <v>2500</v>
      </c>
      <c r="J135" s="20"/>
      <c r="K135" s="21">
        <f t="shared" si="2"/>
        <v>417.3499999998653</v>
      </c>
    </row>
    <row r="136" spans="1:11" ht="12" customHeight="1" x14ac:dyDescent="0.25">
      <c r="A136" s="28">
        <v>5</v>
      </c>
      <c r="B136" s="14">
        <v>43549</v>
      </c>
      <c r="C136" s="15" t="str">
        <f>VLOOKUP(A136,Base!B:C,2,0)</f>
        <v>RESGATE APLICAÇÃO</v>
      </c>
      <c r="D136" s="15" t="str">
        <f>VLOOKUP(A136,Base!B:D,3,0)</f>
        <v>PALCOPARANÁ</v>
      </c>
      <c r="E136" s="23" t="str">
        <f>VLOOKUP($A136,Base!B:E,4,0)</f>
        <v>25.298.788/0001-95</v>
      </c>
      <c r="F136" s="24">
        <f>VLOOKUP($A136,Base!B:F,5,0)</f>
        <v>0</v>
      </c>
      <c r="G136" s="23"/>
      <c r="H136" s="17" t="s">
        <v>13</v>
      </c>
      <c r="I136" s="19">
        <v>16.8</v>
      </c>
      <c r="J136" s="20"/>
      <c r="K136" s="21">
        <f t="shared" si="2"/>
        <v>434.14999999986532</v>
      </c>
    </row>
    <row r="137" spans="1:11" ht="12" customHeight="1" x14ac:dyDescent="0.25">
      <c r="A137" s="28">
        <v>8</v>
      </c>
      <c r="B137" s="14">
        <v>43553</v>
      </c>
      <c r="C137" s="15" t="str">
        <f>VLOOKUP(A137,Base!B:C,2,0)</f>
        <v>3.3.90.30.16 - MATERIAL DE EXPEDIENTE</v>
      </c>
      <c r="D137" s="25" t="s">
        <v>106</v>
      </c>
      <c r="E137" s="26" t="s">
        <v>107</v>
      </c>
      <c r="F137" s="24" t="str">
        <f>VLOOKUP($A137,Base!B:F,5,0)</f>
        <v>NF-e</v>
      </c>
      <c r="G137" s="23">
        <v>1192580</v>
      </c>
      <c r="H137" s="17" t="s">
        <v>108</v>
      </c>
      <c r="I137" s="19"/>
      <c r="J137" s="20">
        <v>7044.05</v>
      </c>
      <c r="K137" s="21">
        <f t="shared" si="2"/>
        <v>-6609.9000000001352</v>
      </c>
    </row>
    <row r="138" spans="1:11" ht="12" customHeight="1" x14ac:dyDescent="0.25">
      <c r="A138" s="28">
        <v>5</v>
      </c>
      <c r="B138" s="14">
        <v>43553</v>
      </c>
      <c r="C138" s="15" t="str">
        <f>VLOOKUP(A138,Base!B:C,2,0)</f>
        <v>RESGATE APLICAÇÃO</v>
      </c>
      <c r="D138" s="15" t="str">
        <f>VLOOKUP(A138,Base!B:D,3,0)</f>
        <v>PALCOPARANÁ</v>
      </c>
      <c r="E138" s="23" t="str">
        <f>VLOOKUP($A138,Base!B:E,4,0)</f>
        <v>25.298.788/0001-95</v>
      </c>
      <c r="F138" s="24">
        <f>VLOOKUP($A138,Base!B:F,5,0)</f>
        <v>0</v>
      </c>
      <c r="G138" s="23"/>
      <c r="H138" s="17" t="s">
        <v>13</v>
      </c>
      <c r="I138" s="19">
        <v>7000</v>
      </c>
      <c r="J138" s="20"/>
      <c r="K138" s="21">
        <f t="shared" si="2"/>
        <v>390.09999999986485</v>
      </c>
    </row>
    <row r="139" spans="1:11" ht="12" customHeight="1" x14ac:dyDescent="0.25">
      <c r="A139" s="28">
        <v>5</v>
      </c>
      <c r="B139" s="14">
        <v>43553</v>
      </c>
      <c r="C139" s="15" t="str">
        <f>VLOOKUP(A139,Base!B:C,2,0)</f>
        <v>RESGATE APLICAÇÃO</v>
      </c>
      <c r="D139" s="15" t="str">
        <f>VLOOKUP(A139,Base!B:D,3,0)</f>
        <v>PALCOPARANÁ</v>
      </c>
      <c r="E139" s="23" t="str">
        <f>VLOOKUP($A139,Base!B:E,4,0)</f>
        <v>25.298.788/0001-95</v>
      </c>
      <c r="F139" s="24">
        <f>VLOOKUP($A139,Base!B:F,5,0)</f>
        <v>0</v>
      </c>
      <c r="G139" s="23"/>
      <c r="H139" s="17" t="s">
        <v>13</v>
      </c>
      <c r="I139" s="19">
        <v>53.62</v>
      </c>
      <c r="J139" s="20"/>
      <c r="K139" s="21">
        <f t="shared" si="2"/>
        <v>443.71999999986485</v>
      </c>
    </row>
    <row r="140" spans="1:11" ht="12" customHeight="1" x14ac:dyDescent="0.25">
      <c r="A140" s="28">
        <v>3</v>
      </c>
      <c r="B140" s="14">
        <v>43556</v>
      </c>
      <c r="C140" s="15" t="str">
        <f>VLOOKUP(A140,Base!B:C,2,0)</f>
        <v>3.1.90.46.03 - AUXÍLIO-ALIMENTAÇÃO</v>
      </c>
      <c r="D140" s="15" t="str">
        <f>VLOOKUP(A140,Base!B:D,3,0)</f>
        <v>COLABORADORES DIVERSOS</v>
      </c>
      <c r="E140" s="23">
        <f>VLOOKUP($A140,Base!B:E,4,0)</f>
        <v>0</v>
      </c>
      <c r="F140" s="24" t="str">
        <f>VLOOKUP($A140,Base!B:F,5,0)</f>
        <v>RECIBO</v>
      </c>
      <c r="G140" s="23"/>
      <c r="H140" s="17" t="s">
        <v>109</v>
      </c>
      <c r="I140" s="19"/>
      <c r="J140" s="20">
        <v>8168</v>
      </c>
      <c r="K140" s="21">
        <f t="shared" si="2"/>
        <v>-7724.2800000001353</v>
      </c>
    </row>
    <row r="141" spans="1:11" ht="12" customHeight="1" x14ac:dyDescent="0.25">
      <c r="A141" s="28">
        <v>1</v>
      </c>
      <c r="B141" s="14">
        <v>43556</v>
      </c>
      <c r="C141" s="15" t="str">
        <f>VLOOKUP(A141,Base!B:C,2,0)</f>
        <v>3.1.90.11.61 - VENCIMENTOS E SALÁRIOS</v>
      </c>
      <c r="D141" s="15" t="str">
        <f>VLOOKUP(A141,Base!B:D,3,0)</f>
        <v>COLABORADORES DIVERSOS</v>
      </c>
      <c r="E141" s="23">
        <f>VLOOKUP($A141,Base!B:E,4,0)</f>
        <v>0</v>
      </c>
      <c r="F141" s="24" t="str">
        <f>VLOOKUP($A141,Base!B:F,5,0)</f>
        <v>HOLERITE</v>
      </c>
      <c r="G141" s="23"/>
      <c r="H141" s="17" t="s">
        <v>110</v>
      </c>
      <c r="I141" s="19"/>
      <c r="J141" s="20">
        <v>239053.57</v>
      </c>
      <c r="K141" s="21">
        <f t="shared" si="2"/>
        <v>-246777.85000000015</v>
      </c>
    </row>
    <row r="142" spans="1:11" ht="12" customHeight="1" x14ac:dyDescent="0.25">
      <c r="A142" s="28">
        <v>13</v>
      </c>
      <c r="B142" s="14">
        <v>43556</v>
      </c>
      <c r="C142" s="15" t="str">
        <f>VLOOKUP(A142,Base!B:C,2,0)</f>
        <v>3.1.90.46.03 - AUXÍLIO-ALIMENTAÇÃO</v>
      </c>
      <c r="D142" s="15"/>
      <c r="E142" s="23">
        <f>VLOOKUP($A142,Base!B:E,4,0)</f>
        <v>0</v>
      </c>
      <c r="F142" s="24" t="str">
        <f>VLOOKUP($A142,Base!B:F,5,0)</f>
        <v>RECIBO</v>
      </c>
      <c r="G142" s="23"/>
      <c r="H142" s="17" t="s">
        <v>111</v>
      </c>
      <c r="I142" s="19"/>
      <c r="J142" s="20">
        <v>768</v>
      </c>
      <c r="K142" s="21">
        <f t="shared" si="2"/>
        <v>-247545.85000000015</v>
      </c>
    </row>
    <row r="143" spans="1:11" ht="12" customHeight="1" x14ac:dyDescent="0.25">
      <c r="A143" s="28">
        <v>2</v>
      </c>
      <c r="B143" s="14">
        <v>43556</v>
      </c>
      <c r="C143" s="15" t="str">
        <f>VLOOKUP(A143,Base!B:C,2,0)</f>
        <v>3.1.90.11.61 - VENCIMENTOS E SALÁRIOS</v>
      </c>
      <c r="D143" s="15" t="str">
        <f>VLOOKUP(A143,Base!B:D,3,0)</f>
        <v>NICOLE BARÃO RAFFS</v>
      </c>
      <c r="E143" s="23" t="str">
        <f>VLOOKUP($A143,Base!B:E,4,0)</f>
        <v>020.621.669-66</v>
      </c>
      <c r="F143" s="24" t="str">
        <f>VLOOKUP($A143,Base!B:F,5,0)</f>
        <v>HOLERITE</v>
      </c>
      <c r="G143" s="23"/>
      <c r="H143" s="17" t="s">
        <v>112</v>
      </c>
      <c r="I143" s="19"/>
      <c r="J143" s="20">
        <v>12749.4</v>
      </c>
      <c r="K143" s="21">
        <f t="shared" si="2"/>
        <v>-260295.25000000015</v>
      </c>
    </row>
    <row r="144" spans="1:11" ht="12" customHeight="1" x14ac:dyDescent="0.25">
      <c r="A144" s="28">
        <v>12</v>
      </c>
      <c r="B144" s="14">
        <v>43556</v>
      </c>
      <c r="C144" s="15" t="str">
        <f>VLOOKUP(A144,Base!B:C,2,0)</f>
        <v>3.1.90.46.03 - AUXÍLIO-ALIMENTAÇÃO</v>
      </c>
      <c r="D144" s="15" t="str">
        <f>VLOOKUP(A144,Base!B:D,3,0)</f>
        <v>NICOLE BARÃO RAFFS</v>
      </c>
      <c r="E144" s="23" t="str">
        <f>VLOOKUP($A144,Base!B:E,4,0)</f>
        <v>020.621.669-66</v>
      </c>
      <c r="F144" s="24" t="str">
        <f>VLOOKUP($A144,Base!B:F,5,0)</f>
        <v>RECIBO</v>
      </c>
      <c r="G144" s="23"/>
      <c r="H144" s="17" t="s">
        <v>113</v>
      </c>
      <c r="I144" s="19"/>
      <c r="J144" s="20">
        <v>336</v>
      </c>
      <c r="K144" s="21">
        <f t="shared" si="2"/>
        <v>-260631.25000000015</v>
      </c>
    </row>
    <row r="145" spans="1:11" ht="12" customHeight="1" x14ac:dyDescent="0.25">
      <c r="A145" s="28">
        <v>14</v>
      </c>
      <c r="B145" s="14">
        <v>43556</v>
      </c>
      <c r="C145" s="15" t="str">
        <f>VLOOKUP(A145,Base!B:C,2,0)</f>
        <v>3.3.90.39.39 - ENCARGOS FINANCEIROS INDEDUTÍVEIS</v>
      </c>
      <c r="D145" s="15" t="str">
        <f>VLOOKUP(A145,Base!B:D,3,0)</f>
        <v>BANCO DO BRASIL</v>
      </c>
      <c r="E145" s="23">
        <f>VLOOKUP($A145,Base!B:E,4,0)</f>
        <v>191</v>
      </c>
      <c r="F145" s="24" t="str">
        <f>VLOOKUP($A145,Base!B:F,5,0)</f>
        <v>AVISO DE DÉBITO</v>
      </c>
      <c r="G145" s="23"/>
      <c r="H145" s="17" t="s">
        <v>86</v>
      </c>
      <c r="I145" s="19"/>
      <c r="J145" s="20">
        <v>11.4</v>
      </c>
      <c r="K145" s="21">
        <f t="shared" si="2"/>
        <v>-260642.65000000014</v>
      </c>
    </row>
    <row r="146" spans="1:11" ht="12" customHeight="1" x14ac:dyDescent="0.25">
      <c r="A146" s="28">
        <v>5</v>
      </c>
      <c r="B146" s="14">
        <v>43556</v>
      </c>
      <c r="C146" s="15" t="str">
        <f>VLOOKUP(A146,Base!B:C,2,0)</f>
        <v>RESGATE APLICAÇÃO</v>
      </c>
      <c r="D146" s="15" t="str">
        <f>VLOOKUP(A146,Base!B:D,3,0)</f>
        <v>PALCOPARANÁ</v>
      </c>
      <c r="E146" s="23" t="str">
        <f>VLOOKUP($A146,Base!B:E,4,0)</f>
        <v>25.298.788/0001-95</v>
      </c>
      <c r="F146" s="24">
        <f>VLOOKUP($A146,Base!B:F,5,0)</f>
        <v>0</v>
      </c>
      <c r="G146" s="23"/>
      <c r="H146" s="17" t="s">
        <v>13</v>
      </c>
      <c r="I146" s="19">
        <v>261000</v>
      </c>
      <c r="J146" s="20"/>
      <c r="K146" s="21">
        <f t="shared" si="2"/>
        <v>357.3499999998603</v>
      </c>
    </row>
    <row r="147" spans="1:11" ht="12" customHeight="1" x14ac:dyDescent="0.25">
      <c r="A147" s="28">
        <v>5</v>
      </c>
      <c r="B147" s="14">
        <v>43556</v>
      </c>
      <c r="C147" s="15" t="str">
        <f>VLOOKUP(A147,Base!B:C,2,0)</f>
        <v>RESGATE APLICAÇÃO</v>
      </c>
      <c r="D147" s="15" t="str">
        <f>VLOOKUP(A147,Base!B:D,3,0)</f>
        <v>PALCOPARANÁ</v>
      </c>
      <c r="E147" s="23" t="str">
        <f>VLOOKUP($A147,Base!B:E,4,0)</f>
        <v>25.298.788/0001-95</v>
      </c>
      <c r="F147" s="24">
        <f>VLOOKUP($A147,Base!B:F,5,0)</f>
        <v>0</v>
      </c>
      <c r="G147" s="23"/>
      <c r="H147" s="17" t="s">
        <v>13</v>
      </c>
      <c r="I147" s="19">
        <v>2056.6799999999998</v>
      </c>
      <c r="J147" s="20"/>
      <c r="K147" s="21">
        <f t="shared" si="2"/>
        <v>2414.0299999998601</v>
      </c>
    </row>
    <row r="148" spans="1:11" ht="12" customHeight="1" x14ac:dyDescent="0.25">
      <c r="A148" s="28">
        <v>13</v>
      </c>
      <c r="B148" s="14">
        <v>43558</v>
      </c>
      <c r="C148" s="15" t="str">
        <f>VLOOKUP(A148,Base!B:C,2,0)</f>
        <v>3.1.90.46.03 - AUXÍLIO-ALIMENTAÇÃO</v>
      </c>
      <c r="D148" s="15" t="s">
        <v>82</v>
      </c>
      <c r="E148" s="23" t="s">
        <v>83</v>
      </c>
      <c r="F148" s="24" t="str">
        <f>VLOOKUP($A148,Base!B:F,5,0)</f>
        <v>RECIBO</v>
      </c>
      <c r="G148" s="23"/>
      <c r="H148" s="17" t="s">
        <v>113</v>
      </c>
      <c r="I148" s="19"/>
      <c r="J148" s="20">
        <v>40</v>
      </c>
      <c r="K148" s="21">
        <f t="shared" si="2"/>
        <v>2374.0299999998601</v>
      </c>
    </row>
    <row r="149" spans="1:11" ht="12" customHeight="1" x14ac:dyDescent="0.25">
      <c r="A149" s="28">
        <v>13</v>
      </c>
      <c r="B149" s="14">
        <v>43558</v>
      </c>
      <c r="C149" s="15" t="str">
        <f>VLOOKUP(A149,Base!B:C,2,0)</f>
        <v>3.1.90.46.03 - AUXÍLIO-ALIMENTAÇÃO</v>
      </c>
      <c r="D149" s="15" t="s">
        <v>36</v>
      </c>
      <c r="E149" s="23" t="s">
        <v>37</v>
      </c>
      <c r="F149" s="24" t="str">
        <f>VLOOKUP($A149,Base!B:F,5,0)</f>
        <v>RECIBO</v>
      </c>
      <c r="G149" s="23"/>
      <c r="H149" s="17" t="s">
        <v>113</v>
      </c>
      <c r="I149" s="19"/>
      <c r="J149" s="20">
        <v>384</v>
      </c>
      <c r="K149" s="21">
        <f t="shared" si="2"/>
        <v>1990.0299999998601</v>
      </c>
    </row>
    <row r="150" spans="1:11" ht="12" customHeight="1" x14ac:dyDescent="0.25">
      <c r="A150" s="28">
        <v>13</v>
      </c>
      <c r="B150" s="14">
        <v>43558</v>
      </c>
      <c r="C150" s="15" t="str">
        <f>VLOOKUP(A150,Base!B:C,2,0)</f>
        <v>3.1.90.46.03 - AUXÍLIO-ALIMENTAÇÃO</v>
      </c>
      <c r="D150" s="15" t="s">
        <v>33</v>
      </c>
      <c r="E150" s="23" t="s">
        <v>34</v>
      </c>
      <c r="F150" s="24" t="str">
        <f>VLOOKUP($A150,Base!B:F,5,0)</f>
        <v>RECIBO</v>
      </c>
      <c r="G150" s="23"/>
      <c r="H150" s="17" t="s">
        <v>113</v>
      </c>
      <c r="I150" s="19"/>
      <c r="J150" s="20">
        <v>384</v>
      </c>
      <c r="K150" s="21">
        <f t="shared" si="2"/>
        <v>1606.0299999998601</v>
      </c>
    </row>
    <row r="151" spans="1:11" ht="12" customHeight="1" x14ac:dyDescent="0.25">
      <c r="A151" s="28">
        <v>13</v>
      </c>
      <c r="B151" s="14">
        <v>43558</v>
      </c>
      <c r="C151" s="15" t="str">
        <f>VLOOKUP(A151,Base!B:C,2,0)</f>
        <v>3.1.90.46.03 - AUXÍLIO-ALIMENTAÇÃO</v>
      </c>
      <c r="D151" s="15" t="s">
        <v>84</v>
      </c>
      <c r="E151" s="23" t="s">
        <v>85</v>
      </c>
      <c r="F151" s="24" t="str">
        <f>VLOOKUP($A151,Base!B:F,5,0)</f>
        <v>RECIBO</v>
      </c>
      <c r="G151" s="23"/>
      <c r="H151" s="17" t="s">
        <v>113</v>
      </c>
      <c r="I151" s="19"/>
      <c r="J151" s="20">
        <v>40</v>
      </c>
      <c r="K151" s="21">
        <f t="shared" si="2"/>
        <v>1566.0299999998601</v>
      </c>
    </row>
    <row r="152" spans="1:11" ht="12" customHeight="1" x14ac:dyDescent="0.25">
      <c r="A152" s="28">
        <v>14</v>
      </c>
      <c r="B152" s="14">
        <v>43558</v>
      </c>
      <c r="C152" s="15" t="str">
        <f>VLOOKUP(A152,Base!B:C,2,0)</f>
        <v>3.3.90.39.39 - ENCARGOS FINANCEIROS INDEDUTÍVEIS</v>
      </c>
      <c r="D152" s="15" t="str">
        <f>VLOOKUP(A152,Base!B:D,3,0)</f>
        <v>BANCO DO BRASIL</v>
      </c>
      <c r="E152" s="23">
        <f>VLOOKUP($A152,Base!B:E,4,0)</f>
        <v>191</v>
      </c>
      <c r="F152" s="24" t="str">
        <f>VLOOKUP($A152,Base!B:F,5,0)</f>
        <v>AVISO DE DÉBITO</v>
      </c>
      <c r="G152" s="23"/>
      <c r="H152" s="17" t="s">
        <v>114</v>
      </c>
      <c r="I152" s="19"/>
      <c r="J152" s="20">
        <v>10.18</v>
      </c>
      <c r="K152" s="21">
        <f t="shared" si="2"/>
        <v>1555.8499999998601</v>
      </c>
    </row>
    <row r="153" spans="1:11" ht="12" customHeight="1" x14ac:dyDescent="0.25">
      <c r="A153" s="28">
        <v>7</v>
      </c>
      <c r="B153" s="14">
        <v>43560</v>
      </c>
      <c r="C153" s="15" t="str">
        <f>VLOOKUP(A153,Base!B:C,2,0)</f>
        <v>3.3.90.39.05 - SERVIÇOS TÉCNICOS PROFISSIONAIS</v>
      </c>
      <c r="D153" s="15" t="str">
        <f>VLOOKUP(A153,Base!B:D,3,0)</f>
        <v>SBSC CONTADORES ASSOCIADOS LTDA</v>
      </c>
      <c r="E153" s="23" t="str">
        <f>VLOOKUP($A153,Base!B:E,4,0)</f>
        <v>05.377.113/0001-24</v>
      </c>
      <c r="F153" s="24" t="str">
        <f>VLOOKUP($A153,Base!B:F,5,0)</f>
        <v>NFS-e</v>
      </c>
      <c r="G153" s="23">
        <v>739</v>
      </c>
      <c r="H153" s="17" t="s">
        <v>115</v>
      </c>
      <c r="I153" s="19"/>
      <c r="J153" s="20">
        <v>2166.66</v>
      </c>
      <c r="K153" s="21">
        <f t="shared" si="2"/>
        <v>-610.81000000013978</v>
      </c>
    </row>
    <row r="154" spans="1:11" ht="12" customHeight="1" x14ac:dyDescent="0.25">
      <c r="A154" s="28">
        <v>10</v>
      </c>
      <c r="B154" s="14">
        <v>43560</v>
      </c>
      <c r="C154" s="15" t="str">
        <f>VLOOKUP(A154,Base!B:C,2,0)</f>
        <v>3.1.90.13.02 - FGTS</v>
      </c>
      <c r="D154" s="15" t="str">
        <f>VLOOKUP(A154,Base!B:D,3,0)</f>
        <v>CAIXA ECONÔMICA FEDERAL</v>
      </c>
      <c r="E154" s="23">
        <f>VLOOKUP($A154,Base!B:E,4,0)</f>
        <v>0</v>
      </c>
      <c r="F154" s="24" t="str">
        <f>VLOOKUP($A154,Base!B:F,5,0)</f>
        <v>GUIA GRRF</v>
      </c>
      <c r="G154" s="23"/>
      <c r="H154" s="17" t="s">
        <v>116</v>
      </c>
      <c r="I154" s="19"/>
      <c r="J154" s="20">
        <v>25028.34</v>
      </c>
      <c r="K154" s="21">
        <f t="shared" si="2"/>
        <v>-25639.15000000014</v>
      </c>
    </row>
    <row r="155" spans="1:11" ht="12" customHeight="1" x14ac:dyDescent="0.25">
      <c r="A155" s="28">
        <v>5</v>
      </c>
      <c r="B155" s="14">
        <v>43560</v>
      </c>
      <c r="C155" s="15" t="str">
        <f>VLOOKUP(A155,Base!B:C,2,0)</f>
        <v>RESGATE APLICAÇÃO</v>
      </c>
      <c r="D155" s="15" t="str">
        <f>VLOOKUP(A155,Base!B:D,3,0)</f>
        <v>PALCOPARANÁ</v>
      </c>
      <c r="E155" s="23" t="str">
        <f>VLOOKUP($A155,Base!B:E,4,0)</f>
        <v>25.298.788/0001-95</v>
      </c>
      <c r="F155" s="24">
        <f>VLOOKUP($A155,Base!B:F,5,0)</f>
        <v>0</v>
      </c>
      <c r="G155" s="23"/>
      <c r="H155" s="17" t="s">
        <v>13</v>
      </c>
      <c r="I155" s="19">
        <v>26000</v>
      </c>
      <c r="J155" s="20"/>
      <c r="K155" s="21">
        <f t="shared" si="2"/>
        <v>360.8499999998603</v>
      </c>
    </row>
    <row r="156" spans="1:11" ht="12" customHeight="1" x14ac:dyDescent="0.25">
      <c r="A156" s="28">
        <v>5</v>
      </c>
      <c r="B156" s="14">
        <v>43560</v>
      </c>
      <c r="C156" s="15" t="str">
        <f>VLOOKUP(A156,Base!B:C,2,0)</f>
        <v>RESGATE APLICAÇÃO</v>
      </c>
      <c r="D156" s="15" t="str">
        <f>VLOOKUP(A156,Base!B:D,3,0)</f>
        <v>PALCOPARANÁ</v>
      </c>
      <c r="E156" s="23" t="str">
        <f>VLOOKUP($A156,Base!B:E,4,0)</f>
        <v>25.298.788/0001-95</v>
      </c>
      <c r="F156" s="24">
        <f>VLOOKUP($A156,Base!B:F,5,0)</f>
        <v>0</v>
      </c>
      <c r="G156" s="23"/>
      <c r="H156" s="17" t="s">
        <v>13</v>
      </c>
      <c r="I156" s="19">
        <v>229.32</v>
      </c>
      <c r="J156" s="20"/>
      <c r="K156" s="21">
        <f t="shared" si="2"/>
        <v>590.16999999986024</v>
      </c>
    </row>
    <row r="157" spans="1:11" ht="12" customHeight="1" x14ac:dyDescent="0.25">
      <c r="A157" s="28">
        <v>13</v>
      </c>
      <c r="B157" s="14">
        <v>43564</v>
      </c>
      <c r="C157" s="15" t="str">
        <f>VLOOKUP(A157,Base!B:C,2,0)</f>
        <v>3.1.90.46.03 - AUXÍLIO-ALIMENTAÇÃO</v>
      </c>
      <c r="D157" s="15" t="s">
        <v>68</v>
      </c>
      <c r="E157" s="23" t="s">
        <v>69</v>
      </c>
      <c r="F157" s="24" t="str">
        <f>VLOOKUP($A157,Base!B:F,5,0)</f>
        <v>RECIBO</v>
      </c>
      <c r="G157" s="23"/>
      <c r="H157" s="17" t="s">
        <v>117</v>
      </c>
      <c r="I157" s="19"/>
      <c r="J157" s="20">
        <v>384</v>
      </c>
      <c r="K157" s="21">
        <f t="shared" si="2"/>
        <v>206.16999999986024</v>
      </c>
    </row>
    <row r="158" spans="1:11" ht="12" customHeight="1" x14ac:dyDescent="0.25">
      <c r="A158" s="28">
        <v>4</v>
      </c>
      <c r="B158" s="14">
        <v>43566</v>
      </c>
      <c r="C158" s="15" t="str">
        <f>VLOOKUP(A158,Base!B:C,2,0)</f>
        <v>3.3.90.39.47 - SERVIÇO DE COMUNICAÇÃO EM GERAL</v>
      </c>
      <c r="D158" s="15" t="str">
        <f>VLOOKUP(A158,Base!B:D,3,0)</f>
        <v>DPTO DE IMPRENSA OFICIAL ESTADO DO PARANÁ</v>
      </c>
      <c r="E158" s="23" t="str">
        <f>VLOOKUP($A158,Base!B:E,4,0)</f>
        <v>76.437.383/0001-21</v>
      </c>
      <c r="F158" s="24" t="str">
        <f>VLOOKUP($A158,Base!B:F,5,0)</f>
        <v>NOTA FISCAL</v>
      </c>
      <c r="G158" s="23">
        <v>2019266355</v>
      </c>
      <c r="H158" s="17" t="s">
        <v>118</v>
      </c>
      <c r="I158" s="19"/>
      <c r="J158" s="20">
        <v>3510</v>
      </c>
      <c r="K158" s="21">
        <f t="shared" si="2"/>
        <v>-3303.83000000014</v>
      </c>
    </row>
    <row r="159" spans="1:11" ht="12" customHeight="1" x14ac:dyDescent="0.25">
      <c r="A159" s="28">
        <v>5</v>
      </c>
      <c r="B159" s="14">
        <v>43566</v>
      </c>
      <c r="C159" s="15" t="str">
        <f>VLOOKUP(A159,Base!B:C,2,0)</f>
        <v>RESGATE APLICAÇÃO</v>
      </c>
      <c r="D159" s="15" t="str">
        <f>VLOOKUP(A159,Base!B:D,3,0)</f>
        <v>PALCOPARANÁ</v>
      </c>
      <c r="E159" s="23" t="str">
        <f>VLOOKUP($A159,Base!B:E,4,0)</f>
        <v>25.298.788/0001-95</v>
      </c>
      <c r="F159" s="24">
        <f>VLOOKUP($A159,Base!B:F,5,0)</f>
        <v>0</v>
      </c>
      <c r="G159" s="23"/>
      <c r="H159" s="17" t="s">
        <v>13</v>
      </c>
      <c r="I159" s="19">
        <v>3500</v>
      </c>
      <c r="J159" s="20"/>
      <c r="K159" s="21">
        <f t="shared" si="2"/>
        <v>196.16999999986001</v>
      </c>
    </row>
    <row r="160" spans="1:11" ht="12" customHeight="1" x14ac:dyDescent="0.25">
      <c r="A160" s="28">
        <v>5</v>
      </c>
      <c r="B160" s="14">
        <v>43566</v>
      </c>
      <c r="C160" s="15" t="str">
        <f>VLOOKUP(A160,Base!B:C,2,0)</f>
        <v>RESGATE APLICAÇÃO</v>
      </c>
      <c r="D160" s="15" t="str">
        <f>VLOOKUP(A160,Base!B:D,3,0)</f>
        <v>PALCOPARANÁ</v>
      </c>
      <c r="E160" s="23" t="str">
        <f>VLOOKUP($A160,Base!B:E,4,0)</f>
        <v>25.298.788/0001-95</v>
      </c>
      <c r="F160" s="24">
        <f>VLOOKUP($A160,Base!B:F,5,0)</f>
        <v>0</v>
      </c>
      <c r="G160" s="23"/>
      <c r="H160" s="17" t="s">
        <v>13</v>
      </c>
      <c r="I160" s="19">
        <v>34.159999999999997</v>
      </c>
      <c r="J160" s="20"/>
      <c r="K160" s="21">
        <f t="shared" si="2"/>
        <v>230.32999999986001</v>
      </c>
    </row>
    <row r="161" spans="1:11" ht="12" customHeight="1" x14ac:dyDescent="0.25">
      <c r="A161" s="28">
        <v>4</v>
      </c>
      <c r="B161" s="14">
        <v>43572</v>
      </c>
      <c r="C161" s="15" t="str">
        <f>VLOOKUP(A161,Base!B:C,2,0)</f>
        <v>3.3.90.39.47 - SERVIÇO DE COMUNICAÇÃO EM GERAL</v>
      </c>
      <c r="D161" s="15" t="str">
        <f>VLOOKUP(A161,Base!B:D,3,0)</f>
        <v>DPTO DE IMPRENSA OFICIAL ESTADO DO PARANÁ</v>
      </c>
      <c r="E161" s="23" t="str">
        <f>VLOOKUP($A161,Base!B:E,4,0)</f>
        <v>76.437.383/0001-21</v>
      </c>
      <c r="F161" s="24" t="str">
        <f>VLOOKUP($A161,Base!B:F,5,0)</f>
        <v>NOTA FISCAL</v>
      </c>
      <c r="G161" s="23">
        <v>2019267142</v>
      </c>
      <c r="H161" s="17" t="s">
        <v>119</v>
      </c>
      <c r="I161" s="19"/>
      <c r="J161" s="20">
        <v>300</v>
      </c>
      <c r="K161" s="21">
        <f t="shared" si="2"/>
        <v>-69.670000000139993</v>
      </c>
    </row>
    <row r="162" spans="1:11" ht="12" customHeight="1" x14ac:dyDescent="0.25">
      <c r="A162" s="28">
        <v>27</v>
      </c>
      <c r="B162" s="14">
        <v>43572</v>
      </c>
      <c r="C162" s="15" t="str">
        <f>VLOOKUP(A162,Base!B:C,2,0)</f>
        <v>3.1.90.11.64 - FÉRIAS VENCIDAS OU PROPORCIONAIS - RGPS</v>
      </c>
      <c r="D162" s="15" t="s">
        <v>62</v>
      </c>
      <c r="E162" s="23" t="s">
        <v>120</v>
      </c>
      <c r="F162" s="24" t="str">
        <f>VLOOKUP($A162,Base!B:F,5,0)</f>
        <v>RECIBO</v>
      </c>
      <c r="G162" s="23"/>
      <c r="H162" s="17" t="s">
        <v>121</v>
      </c>
      <c r="I162" s="19"/>
      <c r="J162" s="20">
        <v>12691.57</v>
      </c>
      <c r="K162" s="21">
        <f t="shared" si="2"/>
        <v>-12761.24000000014</v>
      </c>
    </row>
    <row r="163" spans="1:11" ht="12" customHeight="1" x14ac:dyDescent="0.25">
      <c r="A163" s="28">
        <v>14</v>
      </c>
      <c r="B163" s="14">
        <v>43572</v>
      </c>
      <c r="C163" s="15" t="str">
        <f>VLOOKUP(A163,Base!B:C,2,0)</f>
        <v>3.3.90.39.39 - ENCARGOS FINANCEIROS INDEDUTÍVEIS</v>
      </c>
      <c r="D163" s="15" t="str">
        <f>VLOOKUP(A163,Base!B:D,3,0)</f>
        <v>BANCO DO BRASIL</v>
      </c>
      <c r="E163" s="23">
        <f>VLOOKUP($A163,Base!B:E,4,0)</f>
        <v>191</v>
      </c>
      <c r="F163" s="24" t="str">
        <f>VLOOKUP($A163,Base!B:F,5,0)</f>
        <v>AVISO DE DÉBITO</v>
      </c>
      <c r="G163" s="23"/>
      <c r="H163" s="17" t="s">
        <v>122</v>
      </c>
      <c r="I163" s="19"/>
      <c r="J163" s="20">
        <v>10.18</v>
      </c>
      <c r="K163" s="21">
        <f t="shared" si="2"/>
        <v>-12771.42000000014</v>
      </c>
    </row>
    <row r="164" spans="1:11" ht="12" customHeight="1" x14ac:dyDescent="0.25">
      <c r="A164" s="28">
        <v>5</v>
      </c>
      <c r="B164" s="14">
        <v>43572</v>
      </c>
      <c r="C164" s="15" t="str">
        <f>VLOOKUP(A164,Base!B:C,2,0)</f>
        <v>RESGATE APLICAÇÃO</v>
      </c>
      <c r="D164" s="15" t="str">
        <f>VLOOKUP(A164,Base!B:D,3,0)</f>
        <v>PALCOPARANÁ</v>
      </c>
      <c r="E164" s="23" t="str">
        <f>VLOOKUP($A164,Base!B:E,4,0)</f>
        <v>25.298.788/0001-95</v>
      </c>
      <c r="F164" s="24">
        <f>VLOOKUP($A164,Base!B:F,5,0)</f>
        <v>0</v>
      </c>
      <c r="G164" s="23"/>
      <c r="H164" s="17" t="s">
        <v>13</v>
      </c>
      <c r="I164" s="19">
        <v>13000</v>
      </c>
      <c r="J164" s="20"/>
      <c r="K164" s="21">
        <f t="shared" si="2"/>
        <v>228.57999999985987</v>
      </c>
    </row>
    <row r="165" spans="1:11" ht="12" customHeight="1" x14ac:dyDescent="0.25">
      <c r="A165" s="28">
        <v>5</v>
      </c>
      <c r="B165" s="14">
        <v>43572</v>
      </c>
      <c r="C165" s="15" t="str">
        <f>VLOOKUP(A165,Base!B:C,2,0)</f>
        <v>RESGATE APLICAÇÃO</v>
      </c>
      <c r="D165" s="15" t="str">
        <f>VLOOKUP(A165,Base!B:D,3,0)</f>
        <v>PALCOPARANÁ</v>
      </c>
      <c r="E165" s="23" t="str">
        <f>VLOOKUP($A165,Base!B:E,4,0)</f>
        <v>25.298.788/0001-95</v>
      </c>
      <c r="F165" s="24">
        <f>VLOOKUP($A165,Base!B:F,5,0)</f>
        <v>0</v>
      </c>
      <c r="G165" s="23"/>
      <c r="H165" s="17" t="s">
        <v>13</v>
      </c>
      <c r="I165" s="19">
        <v>139.1</v>
      </c>
      <c r="J165" s="20"/>
      <c r="K165" s="21">
        <f t="shared" si="2"/>
        <v>367.67999999985989</v>
      </c>
    </row>
    <row r="166" spans="1:11" ht="12" customHeight="1" x14ac:dyDescent="0.25">
      <c r="A166" s="28">
        <v>16</v>
      </c>
      <c r="B166" s="14">
        <v>43573</v>
      </c>
      <c r="C166" s="15" t="str">
        <f>VLOOKUP(A166,Base!B:C,2,0)</f>
        <v>3.1.90.13.01- CONTRIBUIÇÕES PREVIDENCIÁRIAS - INSS</v>
      </c>
      <c r="D166" s="15" t="str">
        <f>VLOOKUP(A166,Base!B:D,3,0)</f>
        <v>FUNDO DO REGIME GERAL DE PREVIDENCIA SOCIAL</v>
      </c>
      <c r="E166" s="23" t="str">
        <f>VLOOKUP($A166,Base!B:E,4,0)</f>
        <v>16.727.230/0001-97</v>
      </c>
      <c r="F166" s="24" t="str">
        <f>VLOOKUP($A166,Base!B:F,5,0)</f>
        <v>GPS</v>
      </c>
      <c r="G166" s="23"/>
      <c r="H166" s="17" t="s">
        <v>123</v>
      </c>
      <c r="I166" s="19"/>
      <c r="J166" s="20">
        <v>113561.9</v>
      </c>
      <c r="K166" s="21">
        <f t="shared" si="2"/>
        <v>-113194.22000000013</v>
      </c>
    </row>
    <row r="167" spans="1:11" ht="12" customHeight="1" x14ac:dyDescent="0.25">
      <c r="A167" s="28">
        <v>15</v>
      </c>
      <c r="B167" s="14">
        <v>43573</v>
      </c>
      <c r="C167" s="15" t="str">
        <f>VLOOKUP(A167,Base!B:C,2,0)</f>
        <v>3.1.90.11.61 - VENCIMENTOS E SALÁRIOS</v>
      </c>
      <c r="D167" s="15" t="str">
        <f>VLOOKUP(A167,Base!B:D,3,0)</f>
        <v>MINISTÉRIO DA FAZENDA - UNIÃO</v>
      </c>
      <c r="E167" s="23">
        <f>VLOOKUP($A167,Base!B:E,4,0)</f>
        <v>0</v>
      </c>
      <c r="F167" s="24" t="str">
        <f>VLOOKUP($A167,Base!B:F,5,0)</f>
        <v>DARF IRRF</v>
      </c>
      <c r="G167" s="23"/>
      <c r="H167" s="17" t="s">
        <v>124</v>
      </c>
      <c r="I167" s="19"/>
      <c r="J167" s="20">
        <v>17675.07</v>
      </c>
      <c r="K167" s="21">
        <f t="shared" si="2"/>
        <v>-130869.29000000012</v>
      </c>
    </row>
    <row r="168" spans="1:11" ht="12" customHeight="1" x14ac:dyDescent="0.25">
      <c r="A168" s="28">
        <v>5</v>
      </c>
      <c r="B168" s="14">
        <v>43573</v>
      </c>
      <c r="C168" s="15" t="str">
        <f>VLOOKUP(A168,Base!B:C,2,0)</f>
        <v>RESGATE APLICAÇÃO</v>
      </c>
      <c r="D168" s="15" t="str">
        <f>VLOOKUP(A168,Base!B:D,3,0)</f>
        <v>PALCOPARANÁ</v>
      </c>
      <c r="E168" s="23" t="str">
        <f>VLOOKUP($A168,Base!B:E,4,0)</f>
        <v>25.298.788/0001-95</v>
      </c>
      <c r="F168" s="24">
        <f>VLOOKUP($A168,Base!B:F,5,0)</f>
        <v>0</v>
      </c>
      <c r="G168" s="23"/>
      <c r="H168" s="17" t="s">
        <v>13</v>
      </c>
      <c r="I168" s="19">
        <v>131000</v>
      </c>
      <c r="J168" s="20"/>
      <c r="K168" s="21">
        <f t="shared" si="2"/>
        <v>130.70999999987544</v>
      </c>
    </row>
    <row r="169" spans="1:11" ht="12" customHeight="1" x14ac:dyDescent="0.25">
      <c r="A169" s="28">
        <v>5</v>
      </c>
      <c r="B169" s="14">
        <v>43573</v>
      </c>
      <c r="C169" s="15" t="str">
        <f>VLOOKUP(A169,Base!B:C,2,0)</f>
        <v>RESGATE APLICAÇÃO</v>
      </c>
      <c r="D169" s="15" t="str">
        <f>VLOOKUP(A169,Base!B:D,3,0)</f>
        <v>PALCOPARANÁ</v>
      </c>
      <c r="E169" s="23" t="str">
        <f>VLOOKUP($A169,Base!B:E,4,0)</f>
        <v>25.298.788/0001-95</v>
      </c>
      <c r="F169" s="24">
        <f>VLOOKUP($A169,Base!B:F,5,0)</f>
        <v>0</v>
      </c>
      <c r="G169" s="23"/>
      <c r="H169" s="17" t="s">
        <v>13</v>
      </c>
      <c r="I169" s="19">
        <v>1430.52</v>
      </c>
      <c r="J169" s="20"/>
      <c r="K169" s="21">
        <f t="shared" si="2"/>
        <v>1561.2299999998754</v>
      </c>
    </row>
    <row r="170" spans="1:11" ht="12" customHeight="1" x14ac:dyDescent="0.25">
      <c r="A170" s="28">
        <v>9</v>
      </c>
      <c r="B170" s="14">
        <v>43577</v>
      </c>
      <c r="C170" s="15" t="str">
        <f>VLOOKUP(A170,Base!B:C,2,0)</f>
        <v>3.3.90.39.12 - LOCAÇÃO DE MÁQUINAS E EQUIPAMENTOS</v>
      </c>
      <c r="D170" s="15" t="str">
        <f>VLOOKUP(A170,Base!B:D,3,0)</f>
        <v>INTERATIVA SOLUÇÕES EM INFORMATICA LTDA</v>
      </c>
      <c r="E170" s="23" t="str">
        <f>VLOOKUP($A170,Base!B:E,4,0)</f>
        <v>04.192.385/0001-97</v>
      </c>
      <c r="F170" s="24" t="str">
        <f>VLOOKUP($A170,Base!B:F,5,0)</f>
        <v>NFS-e</v>
      </c>
      <c r="G170" s="23"/>
      <c r="H170" s="17" t="s">
        <v>21</v>
      </c>
      <c r="I170" s="19"/>
      <c r="J170" s="20">
        <v>1181.58</v>
      </c>
      <c r="K170" s="21">
        <f t="shared" si="2"/>
        <v>379.64999999987549</v>
      </c>
    </row>
    <row r="171" spans="1:11" ht="12" customHeight="1" x14ac:dyDescent="0.25">
      <c r="A171" s="28">
        <v>17</v>
      </c>
      <c r="B171" s="14">
        <v>43580</v>
      </c>
      <c r="C171" s="15" t="str">
        <f>VLOOKUP(A171,Base!B:C,2,0)</f>
        <v>3.3.90.39.05 - SERVIÇOS TÉCNICOS PROFISSIONAIS</v>
      </c>
      <c r="D171" s="15" t="s">
        <v>74</v>
      </c>
      <c r="E171" s="23" t="s">
        <v>75</v>
      </c>
      <c r="F171" s="24" t="s">
        <v>76</v>
      </c>
      <c r="G171" s="23">
        <v>53</v>
      </c>
      <c r="H171" s="17" t="s">
        <v>77</v>
      </c>
      <c r="I171" s="19"/>
      <c r="J171" s="20">
        <v>5890</v>
      </c>
      <c r="K171" s="21">
        <f t="shared" si="2"/>
        <v>-5510.3500000001241</v>
      </c>
    </row>
    <row r="172" spans="1:11" ht="12" customHeight="1" x14ac:dyDescent="0.25">
      <c r="A172" s="28">
        <v>20</v>
      </c>
      <c r="B172" s="14">
        <v>43580</v>
      </c>
      <c r="C172" s="15" t="str">
        <f>VLOOKUP(A172,Base!B:C,2,0)</f>
        <v>3.1.90.47.01 - PIS/PASEP</v>
      </c>
      <c r="D172" s="15" t="str">
        <f>VLOOKUP(A172,Base!B:D,3,0)</f>
        <v>MINISTÉRIO DA FAZENDA - UNIÃO</v>
      </c>
      <c r="E172" s="23" t="str">
        <f>VLOOKUP($A172,Base!B:E,4,0)</f>
        <v>25.298.788/0001-95 -8301</v>
      </c>
      <c r="F172" s="24" t="str">
        <f>VLOOKUP($A172,Base!B:F,5,0)</f>
        <v>DARF PIS</v>
      </c>
      <c r="G172" s="23"/>
      <c r="H172" s="17" t="s">
        <v>125</v>
      </c>
      <c r="I172" s="19"/>
      <c r="J172" s="20">
        <v>3128.54</v>
      </c>
      <c r="K172" s="21">
        <f t="shared" si="2"/>
        <v>-8638.8900000001231</v>
      </c>
    </row>
    <row r="173" spans="1:11" ht="12" customHeight="1" x14ac:dyDescent="0.25">
      <c r="A173" s="28">
        <v>5</v>
      </c>
      <c r="B173" s="14">
        <v>43580</v>
      </c>
      <c r="C173" s="15" t="str">
        <f>VLOOKUP(A173,Base!B:C,2,0)</f>
        <v>RESGATE APLICAÇÃO</v>
      </c>
      <c r="D173" s="15" t="str">
        <f>VLOOKUP(A173,Base!B:D,3,0)</f>
        <v>PALCOPARANÁ</v>
      </c>
      <c r="E173" s="23" t="str">
        <f>VLOOKUP($A173,Base!B:E,4,0)</f>
        <v>25.298.788/0001-95</v>
      </c>
      <c r="F173" s="24">
        <f>VLOOKUP($A173,Base!B:F,5,0)</f>
        <v>0</v>
      </c>
      <c r="G173" s="23"/>
      <c r="H173" s="17" t="s">
        <v>13</v>
      </c>
      <c r="I173" s="19">
        <v>9000</v>
      </c>
      <c r="J173" s="20"/>
      <c r="K173" s="21">
        <f t="shared" si="2"/>
        <v>361.10999999987689</v>
      </c>
    </row>
    <row r="174" spans="1:11" ht="12" customHeight="1" x14ac:dyDescent="0.25">
      <c r="A174" s="28">
        <v>5</v>
      </c>
      <c r="B174" s="14">
        <v>43580</v>
      </c>
      <c r="C174" s="15" t="str">
        <f>VLOOKUP(A174,Base!B:C,2,0)</f>
        <v>RESGATE APLICAÇÃO</v>
      </c>
      <c r="D174" s="15" t="str">
        <f>VLOOKUP(A174,Base!B:D,3,0)</f>
        <v>PALCOPARANÁ</v>
      </c>
      <c r="E174" s="23" t="str">
        <f>VLOOKUP($A174,Base!B:E,4,0)</f>
        <v>25.298.788/0001-95</v>
      </c>
      <c r="F174" s="24">
        <f>VLOOKUP($A174,Base!B:F,5,0)</f>
        <v>0</v>
      </c>
      <c r="G174" s="23"/>
      <c r="H174" s="17" t="s">
        <v>13</v>
      </c>
      <c r="I174" s="19">
        <v>106.74</v>
      </c>
      <c r="J174" s="20"/>
      <c r="K174" s="21">
        <f t="shared" si="2"/>
        <v>467.8499999998769</v>
      </c>
    </row>
    <row r="175" spans="1:11" ht="12" customHeight="1" x14ac:dyDescent="0.25">
      <c r="A175" s="28">
        <v>28</v>
      </c>
      <c r="B175" s="14">
        <v>43585</v>
      </c>
      <c r="C175" s="15" t="str">
        <f>VLOOKUP(A175,Base!B:C,2,0)</f>
        <v>3.3.90.30.23 -UNIFORMES, TECIDOS E AVIAMENTOS</v>
      </c>
      <c r="D175" s="25" t="s">
        <v>126</v>
      </c>
      <c r="E175" s="26" t="s">
        <v>127</v>
      </c>
      <c r="F175" s="24" t="str">
        <f>VLOOKUP($A175,Base!B:F,5,0)</f>
        <v>NF-e</v>
      </c>
      <c r="G175" s="23">
        <v>13386</v>
      </c>
      <c r="H175" s="17" t="s">
        <v>128</v>
      </c>
      <c r="I175" s="19"/>
      <c r="J175" s="20">
        <v>405.27</v>
      </c>
      <c r="K175" s="21">
        <f t="shared" si="2"/>
        <v>62.579999999876918</v>
      </c>
    </row>
    <row r="176" spans="1:11" ht="12" customHeight="1" x14ac:dyDescent="0.25">
      <c r="A176" s="28">
        <v>28</v>
      </c>
      <c r="B176" s="14">
        <v>43585</v>
      </c>
      <c r="C176" s="15" t="str">
        <f>VLOOKUP(A176,Base!B:C,2,0)</f>
        <v>3.3.90.30.23 -UNIFORMES, TECIDOS E AVIAMENTOS</v>
      </c>
      <c r="D176" s="15" t="s">
        <v>126</v>
      </c>
      <c r="E176" s="23" t="s">
        <v>127</v>
      </c>
      <c r="F176" s="24" t="str">
        <f>VLOOKUP($A176,Base!B:F,5,0)</f>
        <v>NF-e</v>
      </c>
      <c r="G176" s="23">
        <v>13297</v>
      </c>
      <c r="H176" s="17" t="s">
        <v>128</v>
      </c>
      <c r="I176" s="19"/>
      <c r="J176" s="20">
        <v>1027.71</v>
      </c>
      <c r="K176" s="21">
        <f t="shared" si="2"/>
        <v>-965.13000000012312</v>
      </c>
    </row>
    <row r="177" spans="1:11" ht="12" customHeight="1" x14ac:dyDescent="0.25">
      <c r="A177" s="28">
        <v>19</v>
      </c>
      <c r="B177" s="14">
        <v>43585</v>
      </c>
      <c r="C177" s="15" t="str">
        <f>VLOOKUP(A177,Base!B:C,2,0)</f>
        <v>CRÉDITO</v>
      </c>
      <c r="D177" s="15" t="str">
        <f>VLOOKUP(A177,Base!B:D,3,0)</f>
        <v>PALCOPARANÁ</v>
      </c>
      <c r="E177" s="23" t="str">
        <f>VLOOKUP($A177,Base!B:E,4,0)</f>
        <v>25.298.788/0001-95</v>
      </c>
      <c r="F177" s="24">
        <f>VLOOKUP($A177,Base!B:F,5,0)</f>
        <v>0</v>
      </c>
      <c r="G177" s="23"/>
      <c r="H177" s="17" t="s">
        <v>129</v>
      </c>
      <c r="I177" s="19">
        <v>405.27</v>
      </c>
      <c r="J177" s="20"/>
      <c r="K177" s="21">
        <f t="shared" si="2"/>
        <v>-559.86000000012314</v>
      </c>
    </row>
    <row r="178" spans="1:11" ht="12" customHeight="1" x14ac:dyDescent="0.25">
      <c r="A178" s="28">
        <v>19</v>
      </c>
      <c r="B178" s="14">
        <v>43585</v>
      </c>
      <c r="C178" s="15" t="str">
        <f>VLOOKUP(A178,Base!B:C,2,0)</f>
        <v>CRÉDITO</v>
      </c>
      <c r="D178" s="15" t="str">
        <f>VLOOKUP(A178,Base!B:D,3,0)</f>
        <v>PALCOPARANÁ</v>
      </c>
      <c r="E178" s="23" t="str">
        <f>VLOOKUP($A178,Base!B:E,4,0)</f>
        <v>25.298.788/0001-95</v>
      </c>
      <c r="F178" s="24">
        <f>VLOOKUP($A178,Base!B:F,5,0)</f>
        <v>0</v>
      </c>
      <c r="G178" s="23"/>
      <c r="H178" s="17" t="s">
        <v>129</v>
      </c>
      <c r="I178" s="19">
        <v>1027.71</v>
      </c>
      <c r="J178" s="20"/>
      <c r="K178" s="21">
        <f t="shared" si="2"/>
        <v>467.8499999998769</v>
      </c>
    </row>
    <row r="179" spans="1:11" ht="12" customHeight="1" x14ac:dyDescent="0.25">
      <c r="A179" s="28">
        <v>14</v>
      </c>
      <c r="B179" s="14">
        <v>43585</v>
      </c>
      <c r="C179" s="15" t="str">
        <f>VLOOKUP(A179,Base!B:C,2,0)</f>
        <v>3.3.90.39.39 - ENCARGOS FINANCEIROS INDEDUTÍVEIS</v>
      </c>
      <c r="D179" s="15" t="str">
        <f>VLOOKUP(A179,Base!B:D,3,0)</f>
        <v>BANCO DO BRASIL</v>
      </c>
      <c r="E179" s="23">
        <f>VLOOKUP($A179,Base!B:E,4,0)</f>
        <v>191</v>
      </c>
      <c r="F179" s="24" t="str">
        <f>VLOOKUP($A179,Base!B:F,5,0)</f>
        <v>AVISO DE DÉBITO</v>
      </c>
      <c r="G179" s="23"/>
      <c r="H179" s="17" t="s">
        <v>130</v>
      </c>
      <c r="I179" s="19"/>
      <c r="J179" s="20">
        <v>10.18</v>
      </c>
      <c r="K179" s="21">
        <f t="shared" si="2"/>
        <v>457.66999999987689</v>
      </c>
    </row>
    <row r="180" spans="1:11" ht="12" customHeight="1" x14ac:dyDescent="0.25">
      <c r="A180" s="28">
        <v>14</v>
      </c>
      <c r="B180" s="14">
        <v>43585</v>
      </c>
      <c r="C180" s="15" t="str">
        <f>VLOOKUP(A180,Base!B:C,2,0)</f>
        <v>3.3.90.39.39 - ENCARGOS FINANCEIROS INDEDUTÍVEIS</v>
      </c>
      <c r="D180" s="15" t="str">
        <f>VLOOKUP(A180,Base!B:D,3,0)</f>
        <v>BANCO DO BRASIL</v>
      </c>
      <c r="E180" s="23">
        <f>VLOOKUP($A180,Base!B:E,4,0)</f>
        <v>191</v>
      </c>
      <c r="F180" s="24" t="str">
        <f>VLOOKUP($A180,Base!B:F,5,0)</f>
        <v>AVISO DE DÉBITO</v>
      </c>
      <c r="G180" s="23"/>
      <c r="H180" s="17" t="s">
        <v>130</v>
      </c>
      <c r="I180" s="19"/>
      <c r="J180" s="20">
        <v>10.18</v>
      </c>
      <c r="K180" s="21">
        <f t="shared" si="2"/>
        <v>447.48999999987689</v>
      </c>
    </row>
    <row r="181" spans="1:11" ht="12" customHeight="1" x14ac:dyDescent="0.25">
      <c r="A181" s="28">
        <v>14</v>
      </c>
      <c r="B181" s="14">
        <v>43585</v>
      </c>
      <c r="C181" s="15" t="str">
        <f>VLOOKUP(A181,Base!B:C,2,0)</f>
        <v>3.3.90.39.39 - ENCARGOS FINANCEIROS INDEDUTÍVEIS</v>
      </c>
      <c r="D181" s="15" t="str">
        <f>VLOOKUP(A181,Base!B:D,3,0)</f>
        <v>BANCO DO BRASIL</v>
      </c>
      <c r="E181" s="23">
        <f>VLOOKUP($A181,Base!B:E,4,0)</f>
        <v>191</v>
      </c>
      <c r="F181" s="24" t="str">
        <f>VLOOKUP($A181,Base!B:F,5,0)</f>
        <v>AVISO DE DÉBITO</v>
      </c>
      <c r="G181" s="23"/>
      <c r="H181" s="17" t="s">
        <v>131</v>
      </c>
      <c r="I181" s="19"/>
      <c r="J181" s="20">
        <v>11.4</v>
      </c>
      <c r="K181" s="21">
        <f t="shared" si="2"/>
        <v>436.08999999987691</v>
      </c>
    </row>
    <row r="182" spans="1:11" ht="12" customHeight="1" x14ac:dyDescent="0.25">
      <c r="A182" s="28">
        <v>28</v>
      </c>
      <c r="B182" s="14">
        <v>43587</v>
      </c>
      <c r="C182" s="15" t="str">
        <f>VLOOKUP(A182,Base!B:C,2,0)</f>
        <v>3.3.90.30.23 -UNIFORMES, TECIDOS E AVIAMENTOS</v>
      </c>
      <c r="D182" s="25" t="s">
        <v>132</v>
      </c>
      <c r="E182" s="26" t="s">
        <v>133</v>
      </c>
      <c r="F182" s="24" t="str">
        <f>VLOOKUP($A182,Base!B:F,5,0)</f>
        <v>NF-e</v>
      </c>
      <c r="G182" s="23"/>
      <c r="H182" s="17" t="s">
        <v>134</v>
      </c>
      <c r="I182" s="19"/>
      <c r="J182" s="20">
        <v>1886.36</v>
      </c>
      <c r="K182" s="21">
        <f t="shared" si="2"/>
        <v>-1450.270000000123</v>
      </c>
    </row>
    <row r="183" spans="1:11" ht="12" customHeight="1" x14ac:dyDescent="0.25">
      <c r="A183" s="28">
        <v>4</v>
      </c>
      <c r="B183" s="14">
        <v>43587</v>
      </c>
      <c r="C183" s="15" t="str">
        <f>VLOOKUP(A183,Base!B:C,2,0)</f>
        <v>3.3.90.39.47 - SERVIÇO DE COMUNICAÇÃO EM GERAL</v>
      </c>
      <c r="D183" s="15" t="str">
        <f>VLOOKUP(A183,Base!B:D,3,0)</f>
        <v>DPTO DE IMPRENSA OFICIAL ESTADO DO PARANÁ</v>
      </c>
      <c r="E183" s="23" t="str">
        <f>VLOOKUP($A183,Base!B:E,4,0)</f>
        <v>76.437.383/0001-21</v>
      </c>
      <c r="F183" s="24" t="str">
        <f>VLOOKUP($A183,Base!B:F,5,0)</f>
        <v>NOTA FISCAL</v>
      </c>
      <c r="G183" s="23">
        <v>2019268489</v>
      </c>
      <c r="H183" s="17" t="s">
        <v>135</v>
      </c>
      <c r="I183" s="19"/>
      <c r="J183" s="20">
        <v>210</v>
      </c>
      <c r="K183" s="21">
        <f t="shared" si="2"/>
        <v>-1660.270000000123</v>
      </c>
    </row>
    <row r="184" spans="1:11" ht="12" customHeight="1" x14ac:dyDescent="0.25">
      <c r="A184" s="28">
        <v>28</v>
      </c>
      <c r="B184" s="14">
        <v>43587</v>
      </c>
      <c r="C184" s="15" t="str">
        <f>VLOOKUP(A184,Base!B:C,2,0)</f>
        <v>3.3.90.30.23 -UNIFORMES, TECIDOS E AVIAMENTOS</v>
      </c>
      <c r="D184" s="15" t="s">
        <v>126</v>
      </c>
      <c r="E184" s="31" t="s">
        <v>127</v>
      </c>
      <c r="F184" s="24" t="str">
        <f>VLOOKUP($A184,Base!B:F,5,0)</f>
        <v>NF-e</v>
      </c>
      <c r="G184" s="23">
        <v>13297</v>
      </c>
      <c r="H184" s="17" t="s">
        <v>128</v>
      </c>
      <c r="I184" s="19"/>
      <c r="J184" s="20">
        <v>1027.71</v>
      </c>
      <c r="K184" s="21">
        <f t="shared" si="2"/>
        <v>-2687.9800000001233</v>
      </c>
    </row>
    <row r="185" spans="1:11" ht="12" customHeight="1" x14ac:dyDescent="0.25">
      <c r="A185" s="28">
        <v>28</v>
      </c>
      <c r="B185" s="14">
        <v>43587</v>
      </c>
      <c r="C185" s="15" t="str">
        <f>VLOOKUP(A185,Base!B:C,2,0)</f>
        <v>3.3.90.30.23 -UNIFORMES, TECIDOS E AVIAMENTOS</v>
      </c>
      <c r="D185" s="15" t="s">
        <v>126</v>
      </c>
      <c r="E185" s="26" t="s">
        <v>127</v>
      </c>
      <c r="F185" s="24" t="str">
        <f>VLOOKUP($A185,Base!B:F,5,0)</f>
        <v>NF-e</v>
      </c>
      <c r="G185" s="23">
        <v>13386</v>
      </c>
      <c r="H185" s="17" t="s">
        <v>128</v>
      </c>
      <c r="I185" s="19"/>
      <c r="J185" s="20">
        <v>405.27</v>
      </c>
      <c r="K185" s="21">
        <f t="shared" si="2"/>
        <v>-3093.2500000001232</v>
      </c>
    </row>
    <row r="186" spans="1:11" ht="12" customHeight="1" x14ac:dyDescent="0.25">
      <c r="A186" s="28">
        <v>6</v>
      </c>
      <c r="B186" s="14">
        <v>43587</v>
      </c>
      <c r="C186" s="15" t="str">
        <f>VLOOKUP(A186,Base!B:C,2,0)</f>
        <v>3.1.90.11.61 - VENCIMENTOS E SALÁRIOS</v>
      </c>
      <c r="D186" s="15" t="s">
        <v>14</v>
      </c>
      <c r="E186" s="23" t="s">
        <v>15</v>
      </c>
      <c r="F186" s="24" t="str">
        <f>VLOOKUP($A186,Base!B:F,5,0)</f>
        <v>HOLERITE</v>
      </c>
      <c r="G186" s="23"/>
      <c r="H186" s="17" t="s">
        <v>136</v>
      </c>
      <c r="I186" s="19"/>
      <c r="J186" s="20">
        <v>11861.76</v>
      </c>
      <c r="K186" s="21">
        <f t="shared" si="2"/>
        <v>-14955.010000000124</v>
      </c>
    </row>
    <row r="187" spans="1:11" ht="12" customHeight="1" x14ac:dyDescent="0.25">
      <c r="A187" s="28">
        <v>1</v>
      </c>
      <c r="B187" s="14">
        <v>43587</v>
      </c>
      <c r="C187" s="15" t="str">
        <f>VLOOKUP(A187,Base!B:C,2,0)</f>
        <v>3.1.90.11.61 - VENCIMENTOS E SALÁRIOS</v>
      </c>
      <c r="D187" s="15" t="str">
        <f>VLOOKUP(A187,Base!B:D,3,0)</f>
        <v>COLABORADORES DIVERSOS</v>
      </c>
      <c r="E187" s="23">
        <f>VLOOKUP($A187,Base!B:E,4,0)</f>
        <v>0</v>
      </c>
      <c r="F187" s="24" t="str">
        <f>VLOOKUP($A187,Base!B:F,5,0)</f>
        <v>HOLERITE</v>
      </c>
      <c r="G187" s="23"/>
      <c r="H187" s="17" t="s">
        <v>137</v>
      </c>
      <c r="I187" s="19"/>
      <c r="J187" s="20">
        <v>192636.24</v>
      </c>
      <c r="K187" s="21">
        <f t="shared" si="2"/>
        <v>-207591.25000000012</v>
      </c>
    </row>
    <row r="188" spans="1:11" ht="12" customHeight="1" x14ac:dyDescent="0.25">
      <c r="A188" s="28">
        <v>3</v>
      </c>
      <c r="B188" s="14">
        <v>43587</v>
      </c>
      <c r="C188" s="15" t="str">
        <f>VLOOKUP(A188,Base!B:C,2,0)</f>
        <v>3.1.90.46.03 - AUXÍLIO-ALIMENTAÇÃO</v>
      </c>
      <c r="D188" s="15" t="str">
        <f>VLOOKUP(A188,Base!B:D,3,0)</f>
        <v>COLABORADORES DIVERSOS</v>
      </c>
      <c r="E188" s="23">
        <f>VLOOKUP($A188,Base!B:E,4,0)</f>
        <v>0</v>
      </c>
      <c r="F188" s="24" t="str">
        <f>VLOOKUP($A188,Base!B:F,5,0)</f>
        <v>RECIBO</v>
      </c>
      <c r="G188" s="23"/>
      <c r="H188" s="17" t="s">
        <v>138</v>
      </c>
      <c r="I188" s="19"/>
      <c r="J188" s="20">
        <v>7840</v>
      </c>
      <c r="K188" s="21">
        <f t="shared" si="2"/>
        <v>-215431.25000000012</v>
      </c>
    </row>
    <row r="189" spans="1:11" ht="12" customHeight="1" x14ac:dyDescent="0.25">
      <c r="A189" s="28">
        <v>13</v>
      </c>
      <c r="B189" s="14">
        <v>43587</v>
      </c>
      <c r="C189" s="15" t="str">
        <f>VLOOKUP(A189,Base!B:C,2,0)</f>
        <v>3.1.90.46.03 - AUXÍLIO-ALIMENTAÇÃO</v>
      </c>
      <c r="D189" s="15"/>
      <c r="E189" s="23">
        <f>VLOOKUP($A189,Base!B:E,4,0)</f>
        <v>0</v>
      </c>
      <c r="F189" s="24" t="str">
        <f>VLOOKUP($A189,Base!B:F,5,0)</f>
        <v>RECIBO</v>
      </c>
      <c r="G189" s="23"/>
      <c r="H189" s="17" t="s">
        <v>139</v>
      </c>
      <c r="I189" s="19"/>
      <c r="J189" s="20">
        <v>768</v>
      </c>
      <c r="K189" s="21">
        <f t="shared" si="2"/>
        <v>-216199.25000000012</v>
      </c>
    </row>
    <row r="190" spans="1:11" ht="12" customHeight="1" x14ac:dyDescent="0.25">
      <c r="A190" s="28">
        <v>6</v>
      </c>
      <c r="B190" s="14">
        <v>43587</v>
      </c>
      <c r="C190" s="15" t="str">
        <f>VLOOKUP(A190,Base!B:C,2,0)</f>
        <v>3.1.90.11.61 - VENCIMENTOS E SALÁRIOS</v>
      </c>
      <c r="D190" s="15" t="s">
        <v>14</v>
      </c>
      <c r="E190" s="23" t="s">
        <v>15</v>
      </c>
      <c r="F190" s="24" t="str">
        <f>VLOOKUP($A190,Base!B:F,5,0)</f>
        <v>HOLERITE</v>
      </c>
      <c r="G190" s="23"/>
      <c r="H190" s="17" t="s">
        <v>140</v>
      </c>
      <c r="I190" s="19"/>
      <c r="J190" s="20">
        <v>6578.62</v>
      </c>
      <c r="K190" s="21">
        <f t="shared" si="2"/>
        <v>-222777.87000000011</v>
      </c>
    </row>
    <row r="191" spans="1:11" ht="12" customHeight="1" x14ac:dyDescent="0.25">
      <c r="A191" s="28">
        <v>2</v>
      </c>
      <c r="B191" s="14">
        <v>43587</v>
      </c>
      <c r="C191" s="15" t="str">
        <f>VLOOKUP(A191,Base!B:C,2,0)</f>
        <v>3.1.90.11.61 - VENCIMENTOS E SALÁRIOS</v>
      </c>
      <c r="D191" s="15" t="str">
        <f>VLOOKUP(A191,Base!B:D,3,0)</f>
        <v>NICOLE BARÃO RAFFS</v>
      </c>
      <c r="E191" s="23" t="str">
        <f>VLOOKUP($A191,Base!B:E,4,0)</f>
        <v>020.621.669-66</v>
      </c>
      <c r="F191" s="24" t="str">
        <f>VLOOKUP($A191,Base!B:F,5,0)</f>
        <v>HOLERITE</v>
      </c>
      <c r="G191" s="23"/>
      <c r="H191" s="17" t="s">
        <v>140</v>
      </c>
      <c r="I191" s="19"/>
      <c r="J191" s="20">
        <v>8164.07</v>
      </c>
      <c r="K191" s="21">
        <f t="shared" si="2"/>
        <v>-230941.94000000012</v>
      </c>
    </row>
    <row r="192" spans="1:11" ht="12" customHeight="1" x14ac:dyDescent="0.25">
      <c r="A192" s="28">
        <v>12</v>
      </c>
      <c r="B192" s="14">
        <v>43587</v>
      </c>
      <c r="C192" s="15" t="str">
        <f>VLOOKUP(A192,Base!B:C,2,0)</f>
        <v>3.1.90.46.03 - AUXÍLIO-ALIMENTAÇÃO</v>
      </c>
      <c r="D192" s="15" t="str">
        <f>VLOOKUP(A192,Base!B:D,3,0)</f>
        <v>NICOLE BARÃO RAFFS</v>
      </c>
      <c r="E192" s="23" t="str">
        <f>VLOOKUP($A192,Base!B:E,4,0)</f>
        <v>020.621.669-66</v>
      </c>
      <c r="F192" s="24" t="str">
        <f>VLOOKUP($A192,Base!B:F,5,0)</f>
        <v>RECIBO</v>
      </c>
      <c r="G192" s="23"/>
      <c r="H192" s="17" t="s">
        <v>141</v>
      </c>
      <c r="I192" s="19"/>
      <c r="J192" s="20">
        <v>352</v>
      </c>
      <c r="K192" s="21">
        <f t="shared" si="2"/>
        <v>-231293.94000000012</v>
      </c>
    </row>
    <row r="193" spans="1:11" ht="12" customHeight="1" x14ac:dyDescent="0.25">
      <c r="A193" s="28">
        <v>5</v>
      </c>
      <c r="B193" s="14">
        <v>43587</v>
      </c>
      <c r="C193" s="15" t="str">
        <f>VLOOKUP(A193,Base!B:C,2,0)</f>
        <v>RESGATE APLICAÇÃO</v>
      </c>
      <c r="D193" s="15" t="str">
        <f>VLOOKUP(A193,Base!B:D,3,0)</f>
        <v>PALCOPARANÁ</v>
      </c>
      <c r="E193" s="23" t="str">
        <f>VLOOKUP($A193,Base!B:E,4,0)</f>
        <v>25.298.788/0001-95</v>
      </c>
      <c r="F193" s="24">
        <f>VLOOKUP($A193,Base!B:F,5,0)</f>
        <v>0</v>
      </c>
      <c r="G193" s="23"/>
      <c r="H193" s="17" t="s">
        <v>13</v>
      </c>
      <c r="I193" s="19">
        <v>231500</v>
      </c>
      <c r="J193" s="20"/>
      <c r="K193" s="21">
        <f t="shared" si="2"/>
        <v>206.05999999988126</v>
      </c>
    </row>
    <row r="194" spans="1:11" ht="12" customHeight="1" x14ac:dyDescent="0.25">
      <c r="A194" s="28">
        <v>5</v>
      </c>
      <c r="B194" s="14">
        <v>43587</v>
      </c>
      <c r="C194" s="15" t="str">
        <f>VLOOKUP(A194,Base!B:C,2,0)</f>
        <v>RESGATE APLICAÇÃO</v>
      </c>
      <c r="D194" s="15" t="str">
        <f>VLOOKUP(A194,Base!B:D,3,0)</f>
        <v>PALCOPARANÁ</v>
      </c>
      <c r="E194" s="23" t="str">
        <f>VLOOKUP($A194,Base!B:E,4,0)</f>
        <v>25.298.788/0001-95</v>
      </c>
      <c r="F194" s="24">
        <f>VLOOKUP($A194,Base!B:F,5,0)</f>
        <v>0</v>
      </c>
      <c r="G194" s="23"/>
      <c r="H194" s="17" t="s">
        <v>13</v>
      </c>
      <c r="I194" s="19">
        <v>2963.2</v>
      </c>
      <c r="J194" s="20"/>
      <c r="K194" s="21">
        <f t="shared" si="2"/>
        <v>3169.2599999998811</v>
      </c>
    </row>
    <row r="195" spans="1:11" ht="12" customHeight="1" x14ac:dyDescent="0.25">
      <c r="A195" s="28">
        <v>7</v>
      </c>
      <c r="B195" s="14">
        <v>43591</v>
      </c>
      <c r="C195" s="15" t="str">
        <f>VLOOKUP(A195,Base!B:C,2,0)</f>
        <v>3.3.90.39.05 - SERVIÇOS TÉCNICOS PROFISSIONAIS</v>
      </c>
      <c r="D195" s="15" t="str">
        <f>VLOOKUP(A195,Base!B:D,3,0)</f>
        <v>SBSC CONTADORES ASSOCIADOS LTDA</v>
      </c>
      <c r="E195" s="23" t="str">
        <f>VLOOKUP($A195,Base!B:E,4,0)</f>
        <v>05.377.113/0001-24</v>
      </c>
      <c r="F195" s="24" t="str">
        <f>VLOOKUP($A195,Base!B:F,5,0)</f>
        <v>NFS-e</v>
      </c>
      <c r="G195" s="23"/>
      <c r="H195" s="17" t="s">
        <v>142</v>
      </c>
      <c r="I195" s="19"/>
      <c r="J195" s="20">
        <v>2166.66</v>
      </c>
      <c r="K195" s="21">
        <f t="shared" ref="K195:K258" si="3">K194+I195-J195</f>
        <v>1002.5999999998812</v>
      </c>
    </row>
    <row r="196" spans="1:11" ht="12" customHeight="1" x14ac:dyDescent="0.25">
      <c r="A196" s="28">
        <v>13</v>
      </c>
      <c r="B196" s="14">
        <v>43591</v>
      </c>
      <c r="C196" s="15" t="str">
        <f>VLOOKUP(A196,Base!B:C,2,0)</f>
        <v>3.1.90.46.03 - AUXÍLIO-ALIMENTAÇÃO</v>
      </c>
      <c r="D196" s="15" t="s">
        <v>33</v>
      </c>
      <c r="E196" s="23" t="s">
        <v>34</v>
      </c>
      <c r="F196" s="24" t="str">
        <f>VLOOKUP($A196,Base!B:F,5,0)</f>
        <v>RECIBO</v>
      </c>
      <c r="G196" s="23"/>
      <c r="H196" s="17" t="s">
        <v>141</v>
      </c>
      <c r="I196" s="19"/>
      <c r="J196" s="20">
        <v>384</v>
      </c>
      <c r="K196" s="21">
        <f t="shared" si="3"/>
        <v>618.59999999988122</v>
      </c>
    </row>
    <row r="197" spans="1:11" ht="12" customHeight="1" x14ac:dyDescent="0.25">
      <c r="A197" s="28">
        <v>13</v>
      </c>
      <c r="B197" s="14">
        <v>43591</v>
      </c>
      <c r="C197" s="15" t="str">
        <f>VLOOKUP(A197,Base!B:C,2,0)</f>
        <v>3.1.90.46.03 - AUXÍLIO-ALIMENTAÇÃO</v>
      </c>
      <c r="D197" s="15" t="s">
        <v>84</v>
      </c>
      <c r="E197" s="23" t="s">
        <v>85</v>
      </c>
      <c r="F197" s="24" t="str">
        <f>VLOOKUP($A197,Base!B:F,5,0)</f>
        <v>RECIBO</v>
      </c>
      <c r="G197" s="23"/>
      <c r="H197" s="17" t="s">
        <v>141</v>
      </c>
      <c r="I197" s="19"/>
      <c r="J197" s="20">
        <v>40</v>
      </c>
      <c r="K197" s="21">
        <f t="shared" si="3"/>
        <v>578.59999999988122</v>
      </c>
    </row>
    <row r="198" spans="1:11" ht="12" customHeight="1" x14ac:dyDescent="0.25">
      <c r="A198" s="28">
        <v>13</v>
      </c>
      <c r="B198" s="14">
        <v>43591</v>
      </c>
      <c r="C198" s="15" t="str">
        <f>VLOOKUP(A198,Base!B:C,2,0)</f>
        <v>3.1.90.46.03 - AUXÍLIO-ALIMENTAÇÃO</v>
      </c>
      <c r="D198" s="15" t="s">
        <v>36</v>
      </c>
      <c r="E198" s="23" t="s">
        <v>37</v>
      </c>
      <c r="F198" s="24" t="str">
        <f>VLOOKUP($A198,Base!B:F,5,0)</f>
        <v>RECIBO</v>
      </c>
      <c r="G198" s="23"/>
      <c r="H198" s="17" t="s">
        <v>141</v>
      </c>
      <c r="I198" s="19"/>
      <c r="J198" s="20">
        <v>384</v>
      </c>
      <c r="K198" s="21">
        <f t="shared" si="3"/>
        <v>194.59999999988122</v>
      </c>
    </row>
    <row r="199" spans="1:11" ht="12" customHeight="1" x14ac:dyDescent="0.25">
      <c r="A199" s="28">
        <v>13</v>
      </c>
      <c r="B199" s="14">
        <v>43591</v>
      </c>
      <c r="C199" s="15" t="str">
        <f>VLOOKUP(A199,Base!B:C,2,0)</f>
        <v>3.1.90.46.03 - AUXÍLIO-ALIMENTAÇÃO</v>
      </c>
      <c r="D199" s="15" t="s">
        <v>82</v>
      </c>
      <c r="E199" s="23" t="s">
        <v>83</v>
      </c>
      <c r="F199" s="24" t="str">
        <f>VLOOKUP($A199,Base!B:F,5,0)</f>
        <v>RECIBO</v>
      </c>
      <c r="G199" s="23"/>
      <c r="H199" s="17" t="s">
        <v>141</v>
      </c>
      <c r="I199" s="19"/>
      <c r="J199" s="20">
        <v>40</v>
      </c>
      <c r="K199" s="21">
        <f t="shared" si="3"/>
        <v>154.59999999988122</v>
      </c>
    </row>
    <row r="200" spans="1:11" ht="12" customHeight="1" x14ac:dyDescent="0.25">
      <c r="A200" s="28">
        <v>10</v>
      </c>
      <c r="B200" s="14">
        <v>43591</v>
      </c>
      <c r="C200" s="15" t="str">
        <f>VLOOKUP(A200,Base!B:C,2,0)</f>
        <v>3.1.90.13.02 - FGTS</v>
      </c>
      <c r="D200" s="15" t="str">
        <f>VLOOKUP(A200,Base!B:D,3,0)</f>
        <v>CAIXA ECONÔMICA FEDERAL</v>
      </c>
      <c r="E200" s="23">
        <f>VLOOKUP($A200,Base!B:E,4,0)</f>
        <v>0</v>
      </c>
      <c r="F200" s="24" t="str">
        <f>VLOOKUP($A200,Base!B:F,5,0)</f>
        <v>GUIA GRRF</v>
      </c>
      <c r="G200" s="23"/>
      <c r="H200" s="17" t="s">
        <v>143</v>
      </c>
      <c r="I200" s="19"/>
      <c r="J200" s="20">
        <v>43.96</v>
      </c>
      <c r="K200" s="21">
        <f t="shared" si="3"/>
        <v>110.63999999988121</v>
      </c>
    </row>
    <row r="201" spans="1:11" ht="12" customHeight="1" x14ac:dyDescent="0.25">
      <c r="A201" s="28">
        <v>14</v>
      </c>
      <c r="B201" s="14">
        <v>43591</v>
      </c>
      <c r="C201" s="15" t="str">
        <f>VLOOKUP(A201,Base!B:C,2,0)</f>
        <v>3.3.90.39.39 - ENCARGOS FINANCEIROS INDEDUTÍVEIS</v>
      </c>
      <c r="D201" s="15" t="str">
        <f>VLOOKUP(A201,Base!B:D,3,0)</f>
        <v>BANCO DO BRASIL</v>
      </c>
      <c r="E201" s="23">
        <f>VLOOKUP($A201,Base!B:E,4,0)</f>
        <v>191</v>
      </c>
      <c r="F201" s="24" t="str">
        <f>VLOOKUP($A201,Base!B:F,5,0)</f>
        <v>AVISO DE DÉBITO</v>
      </c>
      <c r="G201" s="23"/>
      <c r="H201" s="17" t="s">
        <v>144</v>
      </c>
      <c r="I201" s="19"/>
      <c r="J201" s="20">
        <v>10.18</v>
      </c>
      <c r="K201" s="21">
        <f t="shared" si="3"/>
        <v>100.45999999988121</v>
      </c>
    </row>
    <row r="202" spans="1:11" ht="12" customHeight="1" x14ac:dyDescent="0.25">
      <c r="A202" s="28">
        <v>14</v>
      </c>
      <c r="B202" s="14">
        <v>43591</v>
      </c>
      <c r="C202" s="15" t="str">
        <f>VLOOKUP(A202,Base!B:C,2,0)</f>
        <v>3.3.90.39.39 - ENCARGOS FINANCEIROS INDEDUTÍVEIS</v>
      </c>
      <c r="D202" s="15" t="str">
        <f>VLOOKUP(A202,Base!B:D,3,0)</f>
        <v>BANCO DO BRASIL</v>
      </c>
      <c r="E202" s="23">
        <f>VLOOKUP($A202,Base!B:E,4,0)</f>
        <v>191</v>
      </c>
      <c r="F202" s="24" t="str">
        <f>VLOOKUP($A202,Base!B:F,5,0)</f>
        <v>AVISO DE DÉBITO</v>
      </c>
      <c r="G202" s="23"/>
      <c r="H202" s="17" t="s">
        <v>144</v>
      </c>
      <c r="I202" s="19"/>
      <c r="J202" s="20">
        <v>10.18</v>
      </c>
      <c r="K202" s="21">
        <f t="shared" si="3"/>
        <v>90.279999999881198</v>
      </c>
    </row>
    <row r="203" spans="1:11" ht="12" customHeight="1" x14ac:dyDescent="0.25">
      <c r="A203" s="28">
        <v>14</v>
      </c>
      <c r="B203" s="14">
        <v>43591</v>
      </c>
      <c r="C203" s="15" t="str">
        <f>VLOOKUP(A203,Base!B:C,2,0)</f>
        <v>3.3.90.39.39 - ENCARGOS FINANCEIROS INDEDUTÍVEIS</v>
      </c>
      <c r="D203" s="15" t="str">
        <f>VLOOKUP(A203,Base!B:D,3,0)</f>
        <v>BANCO DO BRASIL</v>
      </c>
      <c r="E203" s="23">
        <f>VLOOKUP($A203,Base!B:E,4,0)</f>
        <v>191</v>
      </c>
      <c r="F203" s="24" t="str">
        <f>VLOOKUP($A203,Base!B:F,5,0)</f>
        <v>AVISO DE DÉBITO</v>
      </c>
      <c r="G203" s="23"/>
      <c r="H203" s="17" t="s">
        <v>144</v>
      </c>
      <c r="I203" s="19"/>
      <c r="J203" s="20">
        <v>10.18</v>
      </c>
      <c r="K203" s="21">
        <f t="shared" si="3"/>
        <v>80.099999999881192</v>
      </c>
    </row>
    <row r="204" spans="1:11" ht="12" customHeight="1" x14ac:dyDescent="0.25">
      <c r="A204" s="28">
        <v>28</v>
      </c>
      <c r="B204" s="14">
        <v>43592</v>
      </c>
      <c r="C204" s="15" t="str">
        <f>VLOOKUP(A204,Base!B:C,2,0)</f>
        <v>3.3.90.30.23 -UNIFORMES, TECIDOS E AVIAMENTOS</v>
      </c>
      <c r="D204" s="25" t="s">
        <v>145</v>
      </c>
      <c r="E204" s="26" t="s">
        <v>146</v>
      </c>
      <c r="F204" s="24" t="str">
        <f>VLOOKUP($A204,Base!B:F,5,0)</f>
        <v>NF-e</v>
      </c>
      <c r="G204" s="23">
        <v>1936</v>
      </c>
      <c r="H204" s="17" t="s">
        <v>147</v>
      </c>
      <c r="I204" s="19"/>
      <c r="J204" s="20">
        <v>7770</v>
      </c>
      <c r="K204" s="21">
        <f t="shared" si="3"/>
        <v>-7689.9000000001188</v>
      </c>
    </row>
    <row r="205" spans="1:11" ht="12" customHeight="1" x14ac:dyDescent="0.25">
      <c r="A205" s="28">
        <v>4</v>
      </c>
      <c r="B205" s="14">
        <v>43592</v>
      </c>
      <c r="C205" s="15" t="str">
        <f>VLOOKUP(A205,Base!B:C,2,0)</f>
        <v>3.3.90.39.47 - SERVIÇO DE COMUNICAÇÃO EM GERAL</v>
      </c>
      <c r="D205" s="15" t="str">
        <f>VLOOKUP(A205,Base!B:D,3,0)</f>
        <v>DPTO DE IMPRENSA OFICIAL ESTADO DO PARANÁ</v>
      </c>
      <c r="E205" s="23" t="str">
        <f>VLOOKUP($A205,Base!B:E,4,0)</f>
        <v>76.437.383/0001-21</v>
      </c>
      <c r="F205" s="24" t="str">
        <f>VLOOKUP($A205,Base!B:F,5,0)</f>
        <v>NOTA FISCAL</v>
      </c>
      <c r="G205" s="23">
        <v>2019269041</v>
      </c>
      <c r="H205" s="17" t="s">
        <v>148</v>
      </c>
      <c r="I205" s="19"/>
      <c r="J205" s="20">
        <v>330</v>
      </c>
      <c r="K205" s="21">
        <f t="shared" si="3"/>
        <v>-8019.9000000001188</v>
      </c>
    </row>
    <row r="206" spans="1:11" ht="12" customHeight="1" x14ac:dyDescent="0.25">
      <c r="A206" s="28">
        <v>10</v>
      </c>
      <c r="B206" s="14">
        <v>43592</v>
      </c>
      <c r="C206" s="15" t="str">
        <f>VLOOKUP(A206,Base!B:C,2,0)</f>
        <v>3.1.90.13.02 - FGTS</v>
      </c>
      <c r="D206" s="15" t="str">
        <f>VLOOKUP(A206,Base!B:D,3,0)</f>
        <v>CAIXA ECONÔMICA FEDERAL</v>
      </c>
      <c r="E206" s="23">
        <f>VLOOKUP($A206,Base!B:E,4,0)</f>
        <v>0</v>
      </c>
      <c r="F206" s="24" t="str">
        <f>VLOOKUP($A206,Base!B:F,5,0)</f>
        <v>GUIA GRRF</v>
      </c>
      <c r="G206" s="23"/>
      <c r="H206" s="17" t="s">
        <v>149</v>
      </c>
      <c r="I206" s="19"/>
      <c r="J206" s="20">
        <v>20672.03</v>
      </c>
      <c r="K206" s="21">
        <f t="shared" si="3"/>
        <v>-28691.930000000117</v>
      </c>
    </row>
    <row r="207" spans="1:11" ht="12" customHeight="1" x14ac:dyDescent="0.25">
      <c r="A207" s="28">
        <v>5</v>
      </c>
      <c r="B207" s="14">
        <v>43592</v>
      </c>
      <c r="C207" s="15" t="str">
        <f>VLOOKUP(A207,Base!B:C,2,0)</f>
        <v>RESGATE APLICAÇÃO</v>
      </c>
      <c r="D207" s="15" t="str">
        <f>VLOOKUP(A207,Base!B:D,3,0)</f>
        <v>PALCOPARANÁ</v>
      </c>
      <c r="E207" s="23" t="str">
        <f>VLOOKUP($A207,Base!B:E,4,0)</f>
        <v>25.298.788/0001-95</v>
      </c>
      <c r="F207" s="24">
        <f>VLOOKUP($A207,Base!B:F,5,0)</f>
        <v>0</v>
      </c>
      <c r="G207" s="23"/>
      <c r="H207" s="17" t="s">
        <v>13</v>
      </c>
      <c r="I207" s="19">
        <v>29000</v>
      </c>
      <c r="J207" s="20"/>
      <c r="K207" s="21">
        <f t="shared" si="3"/>
        <v>308.06999999988329</v>
      </c>
    </row>
    <row r="208" spans="1:11" ht="12" customHeight="1" x14ac:dyDescent="0.25">
      <c r="A208" s="28">
        <v>5</v>
      </c>
      <c r="B208" s="14">
        <v>43592</v>
      </c>
      <c r="C208" s="15" t="str">
        <f>VLOOKUP(A208,Base!B:C,2,0)</f>
        <v>RESGATE APLICAÇÃO</v>
      </c>
      <c r="D208" s="15" t="str">
        <f>VLOOKUP(A208,Base!B:D,3,0)</f>
        <v>PALCOPARANÁ</v>
      </c>
      <c r="E208" s="23" t="str">
        <f>VLOOKUP($A208,Base!B:E,4,0)</f>
        <v>25.298.788/0001-95</v>
      </c>
      <c r="F208" s="24">
        <f>VLOOKUP($A208,Base!B:F,5,0)</f>
        <v>0</v>
      </c>
      <c r="G208" s="23"/>
      <c r="H208" s="17" t="s">
        <v>13</v>
      </c>
      <c r="I208" s="19">
        <v>391.5</v>
      </c>
      <c r="J208" s="20"/>
      <c r="K208" s="21">
        <f t="shared" si="3"/>
        <v>699.56999999988329</v>
      </c>
    </row>
    <row r="209" spans="1:11" ht="12" customHeight="1" x14ac:dyDescent="0.25">
      <c r="A209" s="28">
        <v>29</v>
      </c>
      <c r="B209" s="14">
        <v>43593</v>
      </c>
      <c r="C209" s="15" t="str">
        <f>VLOOKUP(A209,Base!B:C,2,0)</f>
        <v>3.3.90.36.06 - SERVIÇOS TÉCNICOS PROFISSIONAIS</v>
      </c>
      <c r="D209" s="15" t="s">
        <v>150</v>
      </c>
      <c r="E209" s="23" t="s">
        <v>151</v>
      </c>
      <c r="F209" s="24" t="s">
        <v>152</v>
      </c>
      <c r="G209" s="23">
        <v>13</v>
      </c>
      <c r="H209" s="17" t="s">
        <v>153</v>
      </c>
      <c r="I209" s="19"/>
      <c r="J209" s="20">
        <v>2678.41</v>
      </c>
      <c r="K209" s="21">
        <f t="shared" si="3"/>
        <v>-1978.8400000001166</v>
      </c>
    </row>
    <row r="210" spans="1:11" ht="12" customHeight="1" x14ac:dyDescent="0.25">
      <c r="A210" s="28">
        <v>14</v>
      </c>
      <c r="B210" s="14">
        <v>43593</v>
      </c>
      <c r="C210" s="15" t="str">
        <f>VLOOKUP(A210,Base!B:C,2,0)</f>
        <v>3.3.90.39.39 - ENCARGOS FINANCEIROS INDEDUTÍVEIS</v>
      </c>
      <c r="D210" s="15" t="str">
        <f>VLOOKUP(A210,Base!B:D,3,0)</f>
        <v>BANCO DO BRASIL</v>
      </c>
      <c r="E210" s="23">
        <f>VLOOKUP($A210,Base!B:E,4,0)</f>
        <v>191</v>
      </c>
      <c r="F210" s="24" t="str">
        <f>VLOOKUP($A210,Base!B:F,5,0)</f>
        <v>AVISO DE DÉBITO</v>
      </c>
      <c r="G210" s="23"/>
      <c r="H210" s="17" t="s">
        <v>154</v>
      </c>
      <c r="I210" s="19"/>
      <c r="J210" s="20">
        <v>10.18</v>
      </c>
      <c r="K210" s="21">
        <f t="shared" si="3"/>
        <v>-1989.0200000001166</v>
      </c>
    </row>
    <row r="211" spans="1:11" ht="12" customHeight="1" x14ac:dyDescent="0.25">
      <c r="A211" s="28">
        <v>5</v>
      </c>
      <c r="B211" s="14">
        <v>43593</v>
      </c>
      <c r="C211" s="15" t="str">
        <f>VLOOKUP(A211,Base!B:C,2,0)</f>
        <v>RESGATE APLICAÇÃO</v>
      </c>
      <c r="D211" s="15" t="str">
        <f>VLOOKUP(A211,Base!B:D,3,0)</f>
        <v>PALCOPARANÁ</v>
      </c>
      <c r="E211" s="23" t="str">
        <f>VLOOKUP($A211,Base!B:E,4,0)</f>
        <v>25.298.788/0001-95</v>
      </c>
      <c r="F211" s="24">
        <f>VLOOKUP($A211,Base!B:F,5,0)</f>
        <v>0</v>
      </c>
      <c r="G211" s="23"/>
      <c r="H211" s="17" t="s">
        <v>13</v>
      </c>
      <c r="I211" s="19">
        <v>2000</v>
      </c>
      <c r="J211" s="20"/>
      <c r="K211" s="21">
        <f t="shared" si="3"/>
        <v>10.979999999883375</v>
      </c>
    </row>
    <row r="212" spans="1:11" ht="12" customHeight="1" x14ac:dyDescent="0.25">
      <c r="A212" s="28">
        <v>5</v>
      </c>
      <c r="B212" s="14">
        <v>43593</v>
      </c>
      <c r="C212" s="15" t="str">
        <f>VLOOKUP(A212,Base!B:C,2,0)</f>
        <v>RESGATE APLICAÇÃO</v>
      </c>
      <c r="D212" s="15" t="str">
        <f>VLOOKUP(A212,Base!B:D,3,0)</f>
        <v>PALCOPARANÁ</v>
      </c>
      <c r="E212" s="23" t="str">
        <f>VLOOKUP($A212,Base!B:E,4,0)</f>
        <v>25.298.788/0001-95</v>
      </c>
      <c r="F212" s="24">
        <f>VLOOKUP($A212,Base!B:F,5,0)</f>
        <v>0</v>
      </c>
      <c r="G212" s="23"/>
      <c r="H212" s="17" t="s">
        <v>13</v>
      </c>
      <c r="I212" s="19">
        <v>27.48</v>
      </c>
      <c r="J212" s="20"/>
      <c r="K212" s="21">
        <f t="shared" si="3"/>
        <v>38.459999999883379</v>
      </c>
    </row>
    <row r="213" spans="1:11" ht="12" customHeight="1" x14ac:dyDescent="0.25">
      <c r="A213" s="28">
        <v>28</v>
      </c>
      <c r="B213" s="14">
        <v>43594</v>
      </c>
      <c r="C213" s="15" t="str">
        <f>VLOOKUP(A213,Base!B:C,2,0)</f>
        <v>3.3.90.30.23 -UNIFORMES, TECIDOS E AVIAMENTOS</v>
      </c>
      <c r="D213" s="15" t="s">
        <v>126</v>
      </c>
      <c r="E213" s="26" t="s">
        <v>127</v>
      </c>
      <c r="F213" s="24" t="str">
        <f>VLOOKUP($A213,Base!B:F,5,0)</f>
        <v>NF-e</v>
      </c>
      <c r="G213" s="23">
        <v>14428</v>
      </c>
      <c r="H213" s="17" t="s">
        <v>155</v>
      </c>
      <c r="I213" s="19"/>
      <c r="J213" s="20">
        <v>4126.8</v>
      </c>
      <c r="K213" s="21">
        <f t="shared" si="3"/>
        <v>-4088.340000000117</v>
      </c>
    </row>
    <row r="214" spans="1:11" ht="12" customHeight="1" x14ac:dyDescent="0.25">
      <c r="A214" s="28">
        <v>19</v>
      </c>
      <c r="B214" s="14">
        <v>43594</v>
      </c>
      <c r="C214" s="15" t="str">
        <f>VLOOKUP(A214,Base!B:C,2,0)</f>
        <v>CRÉDITO</v>
      </c>
      <c r="D214" s="15" t="str">
        <f>VLOOKUP(A214,Base!B:D,3,0)</f>
        <v>PALCOPARANÁ</v>
      </c>
      <c r="E214" s="23" t="str">
        <f>VLOOKUP($A214,Base!B:E,4,0)</f>
        <v>25.298.788/0001-95</v>
      </c>
      <c r="F214" s="24">
        <f>VLOOKUP($A214,Base!B:F,5,0)</f>
        <v>0</v>
      </c>
      <c r="G214" s="23"/>
      <c r="H214" s="17" t="s">
        <v>64</v>
      </c>
      <c r="I214" s="19">
        <v>1200000</v>
      </c>
      <c r="J214" s="20"/>
      <c r="K214" s="21">
        <f t="shared" si="3"/>
        <v>1195911.6599999999</v>
      </c>
    </row>
    <row r="215" spans="1:11" ht="12" customHeight="1" x14ac:dyDescent="0.25">
      <c r="A215" s="28">
        <v>23</v>
      </c>
      <c r="B215" s="14">
        <v>43594</v>
      </c>
      <c r="C215" s="15" t="str">
        <f>VLOOKUP(A215,Base!B:C,2,0)</f>
        <v>TRANSFERÊNCIA CONTA DE RESERVA</v>
      </c>
      <c r="D215" s="15" t="str">
        <f>VLOOKUP(A215,Base!B:D,3,0)</f>
        <v>PALCOPARANÁ</v>
      </c>
      <c r="E215" s="23" t="str">
        <f>VLOOKUP($A215,Base!B:E,4,0)</f>
        <v>25.298.788/0001-95</v>
      </c>
      <c r="F215" s="24">
        <f>VLOOKUP($A215,Base!B:F,5,0)</f>
        <v>0</v>
      </c>
      <c r="G215" s="23"/>
      <c r="H215" s="17" t="s">
        <v>65</v>
      </c>
      <c r="I215" s="19"/>
      <c r="J215" s="20">
        <v>60000</v>
      </c>
      <c r="K215" s="21">
        <f t="shared" si="3"/>
        <v>1135911.6599999999</v>
      </c>
    </row>
    <row r="216" spans="1:11" ht="12" customHeight="1" x14ac:dyDescent="0.25">
      <c r="A216" s="28">
        <v>24</v>
      </c>
      <c r="B216" s="14">
        <v>43594</v>
      </c>
      <c r="C216" s="15" t="str">
        <f>VLOOKUP(A216,Base!B:C,2,0)</f>
        <v>APLICAÇÃO</v>
      </c>
      <c r="D216" s="15" t="str">
        <f>VLOOKUP(A216,Base!B:D,3,0)</f>
        <v>PALCOPARANÁ</v>
      </c>
      <c r="E216" s="23" t="str">
        <f>VLOOKUP($A216,Base!B:E,4,0)</f>
        <v>25.298.788/0001-95</v>
      </c>
      <c r="F216" s="24">
        <f>VLOOKUP($A216,Base!B:F,5,0)</f>
        <v>0</v>
      </c>
      <c r="G216" s="23"/>
      <c r="H216" s="17" t="s">
        <v>156</v>
      </c>
      <c r="I216" s="19"/>
      <c r="J216" s="20">
        <v>1140000</v>
      </c>
      <c r="K216" s="21">
        <f t="shared" si="3"/>
        <v>-4088.3400000000838</v>
      </c>
    </row>
    <row r="217" spans="1:11" ht="12" customHeight="1" x14ac:dyDescent="0.25">
      <c r="A217" s="28">
        <v>14</v>
      </c>
      <c r="B217" s="14">
        <v>43594</v>
      </c>
      <c r="C217" s="15" t="str">
        <f>VLOOKUP(A217,Base!B:C,2,0)</f>
        <v>3.3.90.39.39 - ENCARGOS FINANCEIROS INDEDUTÍVEIS</v>
      </c>
      <c r="D217" s="15" t="str">
        <f>VLOOKUP(A217,Base!B:D,3,0)</f>
        <v>BANCO DO BRASIL</v>
      </c>
      <c r="E217" s="23">
        <f>VLOOKUP($A217,Base!B:E,4,0)</f>
        <v>191</v>
      </c>
      <c r="F217" s="24" t="str">
        <f>VLOOKUP($A217,Base!B:F,5,0)</f>
        <v>AVISO DE DÉBITO</v>
      </c>
      <c r="G217" s="23"/>
      <c r="H217" s="17" t="s">
        <v>157</v>
      </c>
      <c r="I217" s="19"/>
      <c r="J217" s="20">
        <v>10.18</v>
      </c>
      <c r="K217" s="21">
        <f t="shared" si="3"/>
        <v>-4098.5200000000841</v>
      </c>
    </row>
    <row r="218" spans="1:11" ht="12" customHeight="1" x14ac:dyDescent="0.25">
      <c r="A218" s="28">
        <v>5</v>
      </c>
      <c r="B218" s="14">
        <v>43594</v>
      </c>
      <c r="C218" s="15" t="str">
        <f>VLOOKUP(A218,Base!B:C,2,0)</f>
        <v>RESGATE APLICAÇÃO</v>
      </c>
      <c r="D218" s="15" t="str">
        <f>VLOOKUP(A218,Base!B:D,3,0)</f>
        <v>PALCOPARANÁ</v>
      </c>
      <c r="E218" s="23" t="str">
        <f>VLOOKUP($A218,Base!B:E,4,0)</f>
        <v>25.298.788/0001-95</v>
      </c>
      <c r="F218" s="24">
        <f>VLOOKUP($A218,Base!B:F,5,0)</f>
        <v>0</v>
      </c>
      <c r="G218" s="23"/>
      <c r="H218" s="17" t="s">
        <v>13</v>
      </c>
      <c r="I218" s="19">
        <v>4500</v>
      </c>
      <c r="J218" s="20"/>
      <c r="K218" s="21">
        <f t="shared" si="3"/>
        <v>401.47999999991589</v>
      </c>
    </row>
    <row r="219" spans="1:11" ht="12" customHeight="1" x14ac:dyDescent="0.25">
      <c r="A219" s="28">
        <v>5</v>
      </c>
      <c r="B219" s="14">
        <v>43594</v>
      </c>
      <c r="C219" s="15" t="str">
        <f>VLOOKUP(A219,Base!B:C,2,0)</f>
        <v>RESGATE APLICAÇÃO</v>
      </c>
      <c r="D219" s="15" t="str">
        <f>VLOOKUP(A219,Base!B:D,3,0)</f>
        <v>PALCOPARANÁ</v>
      </c>
      <c r="E219" s="23" t="str">
        <f>VLOOKUP($A219,Base!B:E,4,0)</f>
        <v>25.298.788/0001-95</v>
      </c>
      <c r="F219" s="24">
        <f>VLOOKUP($A219,Base!B:F,5,0)</f>
        <v>0</v>
      </c>
      <c r="G219" s="23"/>
      <c r="H219" s="17" t="s">
        <v>13</v>
      </c>
      <c r="I219" s="19">
        <v>62.91</v>
      </c>
      <c r="J219" s="20"/>
      <c r="K219" s="21">
        <f t="shared" si="3"/>
        <v>464.38999999991586</v>
      </c>
    </row>
    <row r="220" spans="1:11" ht="12" customHeight="1" x14ac:dyDescent="0.25">
      <c r="A220" s="28">
        <v>30</v>
      </c>
      <c r="B220" s="14">
        <v>43598</v>
      </c>
      <c r="C220" s="15" t="str">
        <f>VLOOKUP(A220,Base!B:C,2,0)</f>
        <v>3.3.90.14.03 - AJUDA DE CUSTO PARA VIAGEM</v>
      </c>
      <c r="D220" s="15" t="str">
        <f>VLOOKUP(A220,Base!B:D,3,0)</f>
        <v>COLABORADORES DIVERSOS</v>
      </c>
      <c r="E220" s="23">
        <f>VLOOKUP($A220,Base!B:E,4,0)</f>
        <v>0</v>
      </c>
      <c r="F220" s="24" t="str">
        <f>VLOOKUP($A220,Base!B:F,5,0)</f>
        <v>RECIBO</v>
      </c>
      <c r="G220" s="23"/>
      <c r="H220" s="17" t="s">
        <v>158</v>
      </c>
      <c r="I220" s="19"/>
      <c r="J220" s="20">
        <v>414</v>
      </c>
      <c r="K220" s="21">
        <f t="shared" si="3"/>
        <v>50.389999999915858</v>
      </c>
    </row>
    <row r="221" spans="1:11" ht="12" customHeight="1" x14ac:dyDescent="0.25">
      <c r="A221" s="28">
        <v>31</v>
      </c>
      <c r="B221" s="14">
        <v>43598</v>
      </c>
      <c r="C221" s="15" t="str">
        <f>VLOOKUP(A221,Base!B:C,2,0)</f>
        <v>3.3.90.39.04 - DIREITOS AUTORAIS</v>
      </c>
      <c r="D221" s="15"/>
      <c r="E221" s="23">
        <f>VLOOKUP($A221,Base!B:E,4,0)</f>
        <v>0</v>
      </c>
      <c r="F221" s="24" t="str">
        <f>VLOOKUP($A221,Base!B:F,5,0)</f>
        <v>RECIBO</v>
      </c>
      <c r="G221" s="23"/>
      <c r="H221" s="17" t="s">
        <v>159</v>
      </c>
      <c r="I221" s="19"/>
      <c r="J221" s="20">
        <v>46</v>
      </c>
      <c r="K221" s="21">
        <f t="shared" si="3"/>
        <v>4.3899999999158581</v>
      </c>
    </row>
    <row r="222" spans="1:11" ht="12" customHeight="1" x14ac:dyDescent="0.25">
      <c r="A222" s="28">
        <v>4</v>
      </c>
      <c r="B222" s="14">
        <v>43599</v>
      </c>
      <c r="C222" s="15" t="str">
        <f>VLOOKUP(A222,Base!B:C,2,0)</f>
        <v>3.3.90.39.47 - SERVIÇO DE COMUNICAÇÃO EM GERAL</v>
      </c>
      <c r="D222" s="15" t="str">
        <f>VLOOKUP(A222,Base!B:D,3,0)</f>
        <v>DPTO DE IMPRENSA OFICIAL ESTADO DO PARANÁ</v>
      </c>
      <c r="E222" s="23" t="str">
        <f>VLOOKUP($A222,Base!B:E,4,0)</f>
        <v>76.437.383/0001-21</v>
      </c>
      <c r="F222" s="24" t="str">
        <f>VLOOKUP($A222,Base!B:F,5,0)</f>
        <v>NOTA FISCAL</v>
      </c>
      <c r="G222" s="23">
        <v>201929660</v>
      </c>
      <c r="H222" s="17" t="s">
        <v>160</v>
      </c>
      <c r="I222" s="19"/>
      <c r="J222" s="20">
        <v>150</v>
      </c>
      <c r="K222" s="21">
        <f t="shared" si="3"/>
        <v>-145.61000000008414</v>
      </c>
    </row>
    <row r="223" spans="1:11" ht="12" customHeight="1" x14ac:dyDescent="0.25">
      <c r="A223" s="28">
        <v>5</v>
      </c>
      <c r="B223" s="14">
        <v>43599</v>
      </c>
      <c r="C223" s="15" t="str">
        <f>VLOOKUP(A223,Base!B:C,2,0)</f>
        <v>RESGATE APLICAÇÃO</v>
      </c>
      <c r="D223" s="15" t="str">
        <f>VLOOKUP(A223,Base!B:D,3,0)</f>
        <v>PALCOPARANÁ</v>
      </c>
      <c r="E223" s="23" t="str">
        <f>VLOOKUP($A223,Base!B:E,4,0)</f>
        <v>25.298.788/0001-95</v>
      </c>
      <c r="F223" s="24">
        <f>VLOOKUP($A223,Base!B:F,5,0)</f>
        <v>0</v>
      </c>
      <c r="G223" s="23"/>
      <c r="H223" s="17" t="s">
        <v>13</v>
      </c>
      <c r="I223" s="19">
        <v>500</v>
      </c>
      <c r="J223" s="20"/>
      <c r="K223" s="21">
        <f t="shared" si="3"/>
        <v>354.38999999991586</v>
      </c>
    </row>
    <row r="224" spans="1:11" ht="12" customHeight="1" x14ac:dyDescent="0.25">
      <c r="A224" s="28">
        <v>5</v>
      </c>
      <c r="B224" s="14">
        <v>43599</v>
      </c>
      <c r="C224" s="15" t="str">
        <f>VLOOKUP(A224,Base!B:C,2,0)</f>
        <v>RESGATE APLICAÇÃO</v>
      </c>
      <c r="D224" s="15" t="str">
        <f>VLOOKUP(A224,Base!B:D,3,0)</f>
        <v>PALCOPARANÁ</v>
      </c>
      <c r="E224" s="23" t="str">
        <f>VLOOKUP($A224,Base!B:E,4,0)</f>
        <v>25.298.788/0001-95</v>
      </c>
      <c r="F224" s="24">
        <f>VLOOKUP($A224,Base!B:F,5,0)</f>
        <v>0</v>
      </c>
      <c r="G224" s="23"/>
      <c r="H224" s="17" t="s">
        <v>13</v>
      </c>
      <c r="I224" s="19">
        <v>7.45</v>
      </c>
      <c r="J224" s="20"/>
      <c r="K224" s="21">
        <f t="shared" si="3"/>
        <v>361.83999999991585</v>
      </c>
    </row>
    <row r="225" spans="1:11" ht="12" customHeight="1" x14ac:dyDescent="0.25">
      <c r="A225" s="28">
        <v>31</v>
      </c>
      <c r="B225" s="14">
        <v>43600</v>
      </c>
      <c r="C225" s="15" t="str">
        <f>VLOOKUP(A225,Base!B:C,2,0)</f>
        <v>3.3.90.39.04 - DIREITOS AUTORAIS</v>
      </c>
      <c r="D225" s="15" t="s">
        <v>36</v>
      </c>
      <c r="E225" s="23" t="s">
        <v>37</v>
      </c>
      <c r="F225" s="24" t="str">
        <f>VLOOKUP($A225,Base!B:F,5,0)</f>
        <v>RECIBO</v>
      </c>
      <c r="G225" s="23"/>
      <c r="H225" s="17" t="s">
        <v>161</v>
      </c>
      <c r="I225" s="19"/>
      <c r="J225" s="20">
        <v>23</v>
      </c>
      <c r="K225" s="21">
        <f t="shared" si="3"/>
        <v>338.83999999991585</v>
      </c>
    </row>
    <row r="226" spans="1:11" ht="12" customHeight="1" x14ac:dyDescent="0.25">
      <c r="A226" s="28">
        <v>31</v>
      </c>
      <c r="B226" s="14">
        <v>43600</v>
      </c>
      <c r="C226" s="15" t="str">
        <f>VLOOKUP(A226,Base!B:C,2,0)</f>
        <v>3.3.90.39.04 - DIREITOS AUTORAIS</v>
      </c>
      <c r="D226" s="15" t="s">
        <v>33</v>
      </c>
      <c r="E226" s="23" t="s">
        <v>34</v>
      </c>
      <c r="F226" s="24" t="str">
        <f>VLOOKUP($A226,Base!B:F,5,0)</f>
        <v>RECIBO</v>
      </c>
      <c r="G226" s="23"/>
      <c r="H226" s="17" t="s">
        <v>161</v>
      </c>
      <c r="I226" s="19"/>
      <c r="J226" s="20">
        <v>23</v>
      </c>
      <c r="K226" s="21">
        <f t="shared" si="3"/>
        <v>315.83999999991585</v>
      </c>
    </row>
    <row r="227" spans="1:11" ht="12" customHeight="1" x14ac:dyDescent="0.25">
      <c r="A227" s="28">
        <v>14</v>
      </c>
      <c r="B227" s="14">
        <v>43600</v>
      </c>
      <c r="C227" s="15" t="str">
        <f>VLOOKUP(A227,Base!B:C,2,0)</f>
        <v>3.3.90.39.39 - ENCARGOS FINANCEIROS INDEDUTÍVEIS</v>
      </c>
      <c r="D227" s="15" t="str">
        <f>VLOOKUP(A227,Base!B:D,3,0)</f>
        <v>BANCO DO BRASIL</v>
      </c>
      <c r="E227" s="23">
        <f>VLOOKUP($A227,Base!B:E,4,0)</f>
        <v>191</v>
      </c>
      <c r="F227" s="24" t="str">
        <f>VLOOKUP($A227,Base!B:F,5,0)</f>
        <v>AVISO DE DÉBITO</v>
      </c>
      <c r="G227" s="23"/>
      <c r="H227" s="17" t="s">
        <v>162</v>
      </c>
      <c r="I227" s="19"/>
      <c r="J227" s="20">
        <v>10.18</v>
      </c>
      <c r="K227" s="21">
        <f t="shared" si="3"/>
        <v>305.65999999991584</v>
      </c>
    </row>
    <row r="228" spans="1:11" ht="12" customHeight="1" x14ac:dyDescent="0.25">
      <c r="A228" s="28">
        <v>14</v>
      </c>
      <c r="B228" s="14">
        <v>43600</v>
      </c>
      <c r="C228" s="15" t="str">
        <f>VLOOKUP(A228,Base!B:C,2,0)</f>
        <v>3.3.90.39.39 - ENCARGOS FINANCEIROS INDEDUTÍVEIS</v>
      </c>
      <c r="D228" s="15" t="str">
        <f>VLOOKUP(A228,Base!B:D,3,0)</f>
        <v>BANCO DO BRASIL</v>
      </c>
      <c r="E228" s="23">
        <f>VLOOKUP($A228,Base!B:E,4,0)</f>
        <v>191</v>
      </c>
      <c r="F228" s="24" t="str">
        <f>VLOOKUP($A228,Base!B:F,5,0)</f>
        <v>AVISO DE DÉBITO</v>
      </c>
      <c r="G228" s="23"/>
      <c r="H228" s="17" t="s">
        <v>162</v>
      </c>
      <c r="I228" s="19"/>
      <c r="J228" s="20">
        <v>10.18</v>
      </c>
      <c r="K228" s="21">
        <f t="shared" si="3"/>
        <v>295.47999999991583</v>
      </c>
    </row>
    <row r="229" spans="1:11" ht="12" customHeight="1" x14ac:dyDescent="0.25">
      <c r="A229" s="28">
        <v>17</v>
      </c>
      <c r="B229" s="14">
        <v>43605</v>
      </c>
      <c r="C229" s="15" t="str">
        <f>VLOOKUP(A229,Base!B:C,2,0)</f>
        <v>3.3.90.39.05 - SERVIÇOS TÉCNICOS PROFISSIONAIS</v>
      </c>
      <c r="D229" s="15" t="s">
        <v>74</v>
      </c>
      <c r="E229" s="23" t="s">
        <v>75</v>
      </c>
      <c r="F229" s="24" t="s">
        <v>76</v>
      </c>
      <c r="G229" s="23">
        <v>54</v>
      </c>
      <c r="H229" s="17" t="s">
        <v>77</v>
      </c>
      <c r="I229" s="19"/>
      <c r="J229" s="20">
        <v>5890</v>
      </c>
      <c r="K229" s="21">
        <f t="shared" si="3"/>
        <v>-5594.5200000000841</v>
      </c>
    </row>
    <row r="230" spans="1:11" ht="12" customHeight="1" x14ac:dyDescent="0.25">
      <c r="A230" s="28">
        <v>30</v>
      </c>
      <c r="B230" s="14">
        <v>43605</v>
      </c>
      <c r="C230" s="15" t="str">
        <f>VLOOKUP(A230,Base!B:C,2,0)</f>
        <v>3.3.90.14.03 - AJUDA DE CUSTO PARA VIAGEM</v>
      </c>
      <c r="D230" s="15" t="str">
        <f>VLOOKUP(A230,Base!B:D,3,0)</f>
        <v>COLABORADORES DIVERSOS</v>
      </c>
      <c r="E230" s="23">
        <f>VLOOKUP($A230,Base!B:E,4,0)</f>
        <v>0</v>
      </c>
      <c r="F230" s="24" t="str">
        <f>VLOOKUP($A230,Base!B:F,5,0)</f>
        <v>RECIBO</v>
      </c>
      <c r="G230" s="23"/>
      <c r="H230" s="17" t="s">
        <v>163</v>
      </c>
      <c r="I230" s="19"/>
      <c r="J230" s="20">
        <v>1173</v>
      </c>
      <c r="K230" s="21">
        <f t="shared" si="3"/>
        <v>-6767.5200000000841</v>
      </c>
    </row>
    <row r="231" spans="1:11" ht="12" customHeight="1" x14ac:dyDescent="0.25">
      <c r="A231" s="28">
        <v>31</v>
      </c>
      <c r="B231" s="14">
        <v>43605</v>
      </c>
      <c r="C231" s="15" t="str">
        <f>VLOOKUP(A231,Base!B:C,2,0)</f>
        <v>3.3.90.39.04 - DIREITOS AUTORAIS</v>
      </c>
      <c r="D231" s="15"/>
      <c r="E231" s="23">
        <f>VLOOKUP($A231,Base!B:E,4,0)</f>
        <v>0</v>
      </c>
      <c r="F231" s="24" t="str">
        <f>VLOOKUP($A231,Base!B:F,5,0)</f>
        <v>RECIBO</v>
      </c>
      <c r="G231" s="23"/>
      <c r="H231" s="17" t="s">
        <v>164</v>
      </c>
      <c r="I231" s="19"/>
      <c r="J231" s="20">
        <v>138</v>
      </c>
      <c r="K231" s="21">
        <f t="shared" si="3"/>
        <v>-6905.5200000000841</v>
      </c>
    </row>
    <row r="232" spans="1:11" ht="12" customHeight="1" x14ac:dyDescent="0.25">
      <c r="A232" s="28">
        <v>31</v>
      </c>
      <c r="B232" s="14">
        <v>43605</v>
      </c>
      <c r="C232" s="15" t="str">
        <f>VLOOKUP(A232,Base!B:C,2,0)</f>
        <v>3.3.90.39.04 - DIREITOS AUTORAIS</v>
      </c>
      <c r="D232" s="15" t="s">
        <v>68</v>
      </c>
      <c r="E232" s="23">
        <f>VLOOKUP($A232,Base!B:E,4,0)</f>
        <v>0</v>
      </c>
      <c r="F232" s="24" t="str">
        <f>VLOOKUP($A232,Base!B:F,5,0)</f>
        <v>RECIBO</v>
      </c>
      <c r="G232" s="23"/>
      <c r="H232" s="17" t="s">
        <v>165</v>
      </c>
      <c r="I232" s="19"/>
      <c r="J232" s="20">
        <v>23</v>
      </c>
      <c r="K232" s="21">
        <f t="shared" si="3"/>
        <v>-6928.5200000000841</v>
      </c>
    </row>
    <row r="233" spans="1:11" ht="12" customHeight="1" x14ac:dyDescent="0.25">
      <c r="A233" s="28">
        <v>13</v>
      </c>
      <c r="B233" s="14">
        <v>43605</v>
      </c>
      <c r="C233" s="15" t="str">
        <f>VLOOKUP(A233,Base!B:C,2,0)</f>
        <v>3.1.90.46.03 - AUXÍLIO-ALIMENTAÇÃO</v>
      </c>
      <c r="D233" s="15"/>
      <c r="E233" s="23">
        <f>VLOOKUP($A233,Base!B:E,4,0)</f>
        <v>0</v>
      </c>
      <c r="F233" s="24" t="str">
        <f>VLOOKUP($A233,Base!B:F,5,0)</f>
        <v>RECIBO</v>
      </c>
      <c r="G233" s="23"/>
      <c r="H233" s="17" t="s">
        <v>166</v>
      </c>
      <c r="I233" s="19"/>
      <c r="J233" s="20">
        <v>480</v>
      </c>
      <c r="K233" s="21">
        <f t="shared" si="3"/>
        <v>-7408.5200000000841</v>
      </c>
    </row>
    <row r="234" spans="1:11" ht="12" customHeight="1" x14ac:dyDescent="0.25">
      <c r="A234" s="28">
        <v>15</v>
      </c>
      <c r="B234" s="14">
        <v>43605</v>
      </c>
      <c r="C234" s="15" t="str">
        <f>VLOOKUP(A234,Base!B:C,2,0)</f>
        <v>3.1.90.11.61 - VENCIMENTOS E SALÁRIOS</v>
      </c>
      <c r="D234" s="15" t="str">
        <f>VLOOKUP(A234,Base!B:D,3,0)</f>
        <v>MINISTÉRIO DA FAZENDA - UNIÃO</v>
      </c>
      <c r="E234" s="23">
        <f>VLOOKUP($A234,Base!B:E,4,0)</f>
        <v>0</v>
      </c>
      <c r="F234" s="24" t="str">
        <f>VLOOKUP($A234,Base!B:F,5,0)</f>
        <v>DARF IRRF</v>
      </c>
      <c r="G234" s="23"/>
      <c r="H234" s="17" t="s">
        <v>167</v>
      </c>
      <c r="I234" s="19"/>
      <c r="J234" s="20">
        <v>30793.26</v>
      </c>
      <c r="K234" s="21">
        <f t="shared" si="3"/>
        <v>-38201.780000000086</v>
      </c>
    </row>
    <row r="235" spans="1:11" ht="12" customHeight="1" x14ac:dyDescent="0.25">
      <c r="A235" s="28">
        <v>16</v>
      </c>
      <c r="B235" s="14">
        <v>43605</v>
      </c>
      <c r="C235" s="15" t="str">
        <f>VLOOKUP(A235,Base!B:C,2,0)</f>
        <v>3.1.90.13.01- CONTRIBUIÇÕES PREVIDENCIÁRIAS - INSS</v>
      </c>
      <c r="D235" s="15" t="str">
        <f>VLOOKUP(A235,Base!B:D,3,0)</f>
        <v>FUNDO DO REGIME GERAL DE PREVIDENCIA SOCIAL</v>
      </c>
      <c r="E235" s="23" t="str">
        <f>VLOOKUP($A235,Base!B:E,4,0)</f>
        <v>16.727.230/0001-97</v>
      </c>
      <c r="F235" s="24" t="str">
        <f>VLOOKUP($A235,Base!B:F,5,0)</f>
        <v>GPS</v>
      </c>
      <c r="G235" s="23"/>
      <c r="H235" s="17" t="s">
        <v>168</v>
      </c>
      <c r="I235" s="19"/>
      <c r="J235" s="20">
        <v>95290.880000000005</v>
      </c>
      <c r="K235" s="21">
        <f t="shared" si="3"/>
        <v>-133492.66000000009</v>
      </c>
    </row>
    <row r="236" spans="1:11" ht="12" customHeight="1" x14ac:dyDescent="0.25">
      <c r="A236" s="28">
        <v>13</v>
      </c>
      <c r="B236" s="14">
        <v>43605</v>
      </c>
      <c r="C236" s="15" t="str">
        <f>VLOOKUP(A236,Base!B:C,2,0)</f>
        <v>3.1.90.46.03 - AUXÍLIO-ALIMENTAÇÃO</v>
      </c>
      <c r="D236" s="15" t="s">
        <v>68</v>
      </c>
      <c r="E236" s="23" t="s">
        <v>69</v>
      </c>
      <c r="F236" s="24" t="str">
        <f>VLOOKUP($A236,Base!B:F,5,0)</f>
        <v>RECIBO</v>
      </c>
      <c r="G236" s="23"/>
      <c r="H236" s="17" t="s">
        <v>169</v>
      </c>
      <c r="I236" s="19"/>
      <c r="J236" s="20">
        <v>384</v>
      </c>
      <c r="K236" s="21">
        <f t="shared" si="3"/>
        <v>-133876.66000000009</v>
      </c>
    </row>
    <row r="237" spans="1:11" ht="12" customHeight="1" x14ac:dyDescent="0.25">
      <c r="A237" s="28">
        <v>5</v>
      </c>
      <c r="B237" s="14">
        <v>43605</v>
      </c>
      <c r="C237" s="15" t="str">
        <f>VLOOKUP(A237,Base!B:C,2,0)</f>
        <v>RESGATE APLICAÇÃO</v>
      </c>
      <c r="D237" s="15" t="str">
        <f>VLOOKUP(A237,Base!B:D,3,0)</f>
        <v>PALCOPARANÁ</v>
      </c>
      <c r="E237" s="23" t="str">
        <f>VLOOKUP($A237,Base!B:E,4,0)</f>
        <v>25.298.788/0001-95</v>
      </c>
      <c r="F237" s="24">
        <f>VLOOKUP($A237,Base!B:F,5,0)</f>
        <v>0</v>
      </c>
      <c r="G237" s="23"/>
      <c r="H237" s="17" t="s">
        <v>13</v>
      </c>
      <c r="I237" s="19">
        <v>134000</v>
      </c>
      <c r="J237" s="20"/>
      <c r="K237" s="21">
        <f t="shared" si="3"/>
        <v>123.3399999999092</v>
      </c>
    </row>
    <row r="238" spans="1:11" ht="12" customHeight="1" x14ac:dyDescent="0.25">
      <c r="A238" s="28">
        <v>5</v>
      </c>
      <c r="B238" s="14">
        <v>43605</v>
      </c>
      <c r="C238" s="15" t="str">
        <f>VLOOKUP(A238,Base!B:C,2,0)</f>
        <v>RESGATE APLICAÇÃO</v>
      </c>
      <c r="D238" s="15" t="str">
        <f>VLOOKUP(A238,Base!B:D,3,0)</f>
        <v>PALCOPARANÁ</v>
      </c>
      <c r="E238" s="23" t="str">
        <f>VLOOKUP($A238,Base!B:E,4,0)</f>
        <v>25.298.788/0001-95</v>
      </c>
      <c r="F238" s="24">
        <f>VLOOKUP($A238,Base!B:F,5,0)</f>
        <v>0</v>
      </c>
      <c r="G238" s="23"/>
      <c r="H238" s="17" t="s">
        <v>13</v>
      </c>
      <c r="I238" s="19">
        <v>281.16000000000003</v>
      </c>
      <c r="J238" s="20"/>
      <c r="K238" s="21">
        <f t="shared" si="3"/>
        <v>404.49999999990922</v>
      </c>
    </row>
    <row r="239" spans="1:11" ht="12" customHeight="1" x14ac:dyDescent="0.25">
      <c r="A239" s="28">
        <v>5</v>
      </c>
      <c r="B239" s="14">
        <v>43605</v>
      </c>
      <c r="C239" s="15" t="str">
        <f>VLOOKUP(A239,Base!B:C,2,0)</f>
        <v>RESGATE APLICAÇÃO</v>
      </c>
      <c r="D239" s="15" t="str">
        <f>VLOOKUP(A239,Base!B:D,3,0)</f>
        <v>PALCOPARANÁ</v>
      </c>
      <c r="E239" s="23" t="str">
        <f>VLOOKUP($A239,Base!B:E,4,0)</f>
        <v>25.298.788/0001-95</v>
      </c>
      <c r="F239" s="24">
        <f>VLOOKUP($A239,Base!B:F,5,0)</f>
        <v>0</v>
      </c>
      <c r="G239" s="23"/>
      <c r="H239" s="17" t="s">
        <v>13</v>
      </c>
      <c r="I239" s="19">
        <v>187.92</v>
      </c>
      <c r="J239" s="20"/>
      <c r="K239" s="21">
        <f t="shared" si="3"/>
        <v>592.41999999990924</v>
      </c>
    </row>
    <row r="240" spans="1:11" ht="12" customHeight="1" x14ac:dyDescent="0.25">
      <c r="A240" s="28">
        <v>13</v>
      </c>
      <c r="B240" s="14">
        <v>43606</v>
      </c>
      <c r="C240" s="15" t="str">
        <f>VLOOKUP(A240,Base!B:C,2,0)</f>
        <v>3.1.90.46.03 - AUXÍLIO-ALIMENTAÇÃO</v>
      </c>
      <c r="D240" s="15"/>
      <c r="E240" s="23">
        <f>VLOOKUP($A240,Base!B:E,4,0)</f>
        <v>0</v>
      </c>
      <c r="F240" s="24" t="str">
        <f>VLOOKUP($A240,Base!B:F,5,0)</f>
        <v>RECIBO</v>
      </c>
      <c r="G240" s="23"/>
      <c r="H240" s="17" t="s">
        <v>170</v>
      </c>
      <c r="I240" s="19"/>
      <c r="J240" s="20">
        <v>240</v>
      </c>
      <c r="K240" s="21">
        <f t="shared" si="3"/>
        <v>352.41999999990924</v>
      </c>
    </row>
    <row r="241" spans="1:11" ht="12" customHeight="1" x14ac:dyDescent="0.25">
      <c r="A241" s="28">
        <v>31</v>
      </c>
      <c r="B241" s="14">
        <v>43607</v>
      </c>
      <c r="C241" s="15" t="str">
        <f>VLOOKUP(A241,Base!B:C,2,0)</f>
        <v>3.3.90.39.04 - DIREITOS AUTORAIS</v>
      </c>
      <c r="D241" s="15" t="s">
        <v>36</v>
      </c>
      <c r="E241" s="23" t="s">
        <v>37</v>
      </c>
      <c r="F241" s="24" t="str">
        <f>VLOOKUP($A241,Base!B:F,5,0)</f>
        <v>RECIBO</v>
      </c>
      <c r="G241" s="23"/>
      <c r="H241" s="17" t="s">
        <v>171</v>
      </c>
      <c r="I241" s="19"/>
      <c r="J241" s="20">
        <v>69</v>
      </c>
      <c r="K241" s="21">
        <f t="shared" si="3"/>
        <v>283.41999999990924</v>
      </c>
    </row>
    <row r="242" spans="1:11" ht="12" customHeight="1" x14ac:dyDescent="0.25">
      <c r="A242" s="28">
        <v>31</v>
      </c>
      <c r="B242" s="14">
        <v>43607</v>
      </c>
      <c r="C242" s="15" t="str">
        <f>VLOOKUP(A242,Base!B:C,2,0)</f>
        <v>3.3.90.39.04 - DIREITOS AUTORAIS</v>
      </c>
      <c r="D242" s="15" t="s">
        <v>33</v>
      </c>
      <c r="E242" s="23" t="s">
        <v>34</v>
      </c>
      <c r="F242" s="24" t="str">
        <f>VLOOKUP($A242,Base!B:F,5,0)</f>
        <v>RECIBO</v>
      </c>
      <c r="G242" s="23"/>
      <c r="H242" s="17" t="s">
        <v>171</v>
      </c>
      <c r="I242" s="19"/>
      <c r="J242" s="20">
        <v>69</v>
      </c>
      <c r="K242" s="21">
        <f t="shared" si="3"/>
        <v>214.41999999990924</v>
      </c>
    </row>
    <row r="243" spans="1:11" ht="12" customHeight="1" x14ac:dyDescent="0.25">
      <c r="A243" s="28">
        <v>14</v>
      </c>
      <c r="B243" s="14">
        <v>43607</v>
      </c>
      <c r="C243" s="15" t="str">
        <f>VLOOKUP(A243,Base!B:C,2,0)</f>
        <v>3.3.90.39.39 - ENCARGOS FINANCEIROS INDEDUTÍVEIS</v>
      </c>
      <c r="D243" s="15" t="str">
        <f>VLOOKUP(A243,Base!B:D,3,0)</f>
        <v>BANCO DO BRASIL</v>
      </c>
      <c r="E243" s="23">
        <f>VLOOKUP($A243,Base!B:E,4,0)</f>
        <v>191</v>
      </c>
      <c r="F243" s="24" t="str">
        <f>VLOOKUP($A243,Base!B:F,5,0)</f>
        <v>AVISO DE DÉBITO</v>
      </c>
      <c r="G243" s="23"/>
      <c r="H243" s="17" t="s">
        <v>172</v>
      </c>
      <c r="I243" s="19"/>
      <c r="J243" s="20">
        <v>10.18</v>
      </c>
      <c r="K243" s="21">
        <f t="shared" si="3"/>
        <v>204.23999999990923</v>
      </c>
    </row>
    <row r="244" spans="1:11" ht="12" customHeight="1" x14ac:dyDescent="0.25">
      <c r="A244" s="28">
        <v>14</v>
      </c>
      <c r="B244" s="14">
        <v>43607</v>
      </c>
      <c r="C244" s="15" t="str">
        <f>VLOOKUP(A244,Base!B:C,2,0)</f>
        <v>3.3.90.39.39 - ENCARGOS FINANCEIROS INDEDUTÍVEIS</v>
      </c>
      <c r="D244" s="15" t="str">
        <f>VLOOKUP(A244,Base!B:D,3,0)</f>
        <v>BANCO DO BRASIL</v>
      </c>
      <c r="E244" s="23">
        <f>VLOOKUP($A244,Base!B:E,4,0)</f>
        <v>191</v>
      </c>
      <c r="F244" s="24" t="str">
        <f>VLOOKUP($A244,Base!B:F,5,0)</f>
        <v>AVISO DE DÉBITO</v>
      </c>
      <c r="G244" s="23"/>
      <c r="H244" s="17" t="s">
        <v>172</v>
      </c>
      <c r="I244" s="19"/>
      <c r="J244" s="20">
        <v>10.18</v>
      </c>
      <c r="K244" s="21">
        <f t="shared" si="3"/>
        <v>194.05999999990922</v>
      </c>
    </row>
    <row r="245" spans="1:11" ht="12" customHeight="1" x14ac:dyDescent="0.25">
      <c r="A245" s="28">
        <v>20</v>
      </c>
      <c r="B245" s="14">
        <v>43609</v>
      </c>
      <c r="C245" s="15" t="str">
        <f>VLOOKUP(A245,Base!B:C,2,0)</f>
        <v>3.1.90.47.01 - PIS/PASEP</v>
      </c>
      <c r="D245" s="15" t="str">
        <f>VLOOKUP(A245,Base!B:D,3,0)</f>
        <v>MINISTÉRIO DA FAZENDA - UNIÃO</v>
      </c>
      <c r="E245" s="23" t="str">
        <f>VLOOKUP($A245,Base!B:E,4,0)</f>
        <v>25.298.788/0001-95 -8301</v>
      </c>
      <c r="F245" s="24" t="str">
        <f>VLOOKUP($A245,Base!B:F,5,0)</f>
        <v>DARF PIS</v>
      </c>
      <c r="G245" s="23"/>
      <c r="H245" s="17" t="s">
        <v>173</v>
      </c>
      <c r="I245" s="19"/>
      <c r="J245" s="20">
        <v>2584</v>
      </c>
      <c r="K245" s="21">
        <f t="shared" si="3"/>
        <v>-2389.9400000000905</v>
      </c>
    </row>
    <row r="246" spans="1:11" ht="12" customHeight="1" x14ac:dyDescent="0.25">
      <c r="A246" s="28">
        <v>5</v>
      </c>
      <c r="B246" s="14">
        <v>43609</v>
      </c>
      <c r="C246" s="15" t="str">
        <f>VLOOKUP(A246,Base!B:C,2,0)</f>
        <v>RESGATE APLICAÇÃO</v>
      </c>
      <c r="D246" s="15" t="str">
        <f>VLOOKUP(A246,Base!B:D,3,0)</f>
        <v>PALCOPARANÁ</v>
      </c>
      <c r="E246" s="23" t="str">
        <f>VLOOKUP($A246,Base!B:E,4,0)</f>
        <v>25.298.788/0001-95</v>
      </c>
      <c r="F246" s="24">
        <f>VLOOKUP($A246,Base!B:F,5,0)</f>
        <v>0</v>
      </c>
      <c r="G246" s="23"/>
      <c r="H246" s="17" t="s">
        <v>13</v>
      </c>
      <c r="I246" s="19">
        <v>2500</v>
      </c>
      <c r="J246" s="20"/>
      <c r="K246" s="21">
        <f t="shared" si="3"/>
        <v>110.05999999990945</v>
      </c>
    </row>
    <row r="247" spans="1:11" ht="12" customHeight="1" x14ac:dyDescent="0.25">
      <c r="A247" s="28">
        <v>5</v>
      </c>
      <c r="B247" s="14">
        <v>43609</v>
      </c>
      <c r="C247" s="15" t="str">
        <f>VLOOKUP(A247,Base!B:C,2,0)</f>
        <v>RESGATE APLICAÇÃO</v>
      </c>
      <c r="D247" s="15" t="str">
        <f>VLOOKUP(A247,Base!B:D,3,0)</f>
        <v>PALCOPARANÁ</v>
      </c>
      <c r="E247" s="23" t="str">
        <f>VLOOKUP($A247,Base!B:E,4,0)</f>
        <v>25.298.788/0001-95</v>
      </c>
      <c r="F247" s="24">
        <f>VLOOKUP($A247,Base!B:F,5,0)</f>
        <v>0</v>
      </c>
      <c r="G247" s="23"/>
      <c r="H247" s="17" t="s">
        <v>13</v>
      </c>
      <c r="I247" s="19">
        <v>6.35</v>
      </c>
      <c r="J247" s="20"/>
      <c r="K247" s="21">
        <f t="shared" si="3"/>
        <v>116.40999999990945</v>
      </c>
    </row>
    <row r="248" spans="1:11" ht="12" customHeight="1" x14ac:dyDescent="0.25">
      <c r="A248" s="28">
        <v>30</v>
      </c>
      <c r="B248" s="14">
        <v>43612</v>
      </c>
      <c r="C248" s="15" t="str">
        <f>VLOOKUP(A248,Base!B:C,2,0)</f>
        <v>3.3.90.14.03 - AJUDA DE CUSTO PARA VIAGEM</v>
      </c>
      <c r="D248" s="15" t="str">
        <f>VLOOKUP(A248,Base!B:D,3,0)</f>
        <v>COLABORADORES DIVERSOS</v>
      </c>
      <c r="E248" s="23">
        <f>VLOOKUP($A248,Base!B:E,4,0)</f>
        <v>0</v>
      </c>
      <c r="F248" s="24" t="str">
        <f>VLOOKUP($A248,Base!B:F,5,0)</f>
        <v>RECIBO</v>
      </c>
      <c r="G248" s="23"/>
      <c r="H248" s="17" t="s">
        <v>174</v>
      </c>
      <c r="I248" s="19"/>
      <c r="J248" s="20">
        <v>1173</v>
      </c>
      <c r="K248" s="21">
        <f t="shared" si="3"/>
        <v>-1056.5900000000906</v>
      </c>
    </row>
    <row r="249" spans="1:11" ht="12" customHeight="1" x14ac:dyDescent="0.25">
      <c r="A249" s="28">
        <v>31</v>
      </c>
      <c r="B249" s="14">
        <v>43612</v>
      </c>
      <c r="C249" s="15" t="str">
        <f>VLOOKUP(A249,Base!B:C,2,0)</f>
        <v>3.3.90.39.04 - DIREITOS AUTORAIS</v>
      </c>
      <c r="D249" s="15"/>
      <c r="E249" s="23">
        <f>VLOOKUP($A249,Base!B:E,4,0)</f>
        <v>0</v>
      </c>
      <c r="F249" s="24" t="str">
        <f>VLOOKUP($A249,Base!B:F,5,0)</f>
        <v>RECIBO</v>
      </c>
      <c r="G249" s="23"/>
      <c r="H249" s="17" t="s">
        <v>175</v>
      </c>
      <c r="I249" s="19"/>
      <c r="J249" s="20">
        <v>138</v>
      </c>
      <c r="K249" s="21">
        <f t="shared" si="3"/>
        <v>-1194.5900000000906</v>
      </c>
    </row>
    <row r="250" spans="1:11" ht="12" customHeight="1" x14ac:dyDescent="0.25">
      <c r="A250" s="28">
        <v>14</v>
      </c>
      <c r="B250" s="14">
        <v>43612</v>
      </c>
      <c r="C250" s="15" t="str">
        <f>VLOOKUP(A250,Base!B:C,2,0)</f>
        <v>3.3.90.39.39 - ENCARGOS FINANCEIROS INDEDUTÍVEIS</v>
      </c>
      <c r="D250" s="15" t="str">
        <f>VLOOKUP(A250,Base!B:D,3,0)</f>
        <v>BANCO DO BRASIL</v>
      </c>
      <c r="E250" s="23">
        <f>VLOOKUP($A250,Base!B:E,4,0)</f>
        <v>191</v>
      </c>
      <c r="F250" s="24" t="str">
        <f>VLOOKUP($A250,Base!B:F,5,0)</f>
        <v>AVISO DE DÉBITO</v>
      </c>
      <c r="G250" s="23"/>
      <c r="H250" s="17" t="s">
        <v>176</v>
      </c>
      <c r="I250" s="19"/>
      <c r="J250" s="20">
        <v>51.9</v>
      </c>
      <c r="K250" s="21">
        <f t="shared" si="3"/>
        <v>-1246.4900000000907</v>
      </c>
    </row>
    <row r="251" spans="1:11" ht="12" customHeight="1" x14ac:dyDescent="0.25">
      <c r="A251" s="28">
        <v>5</v>
      </c>
      <c r="B251" s="14">
        <v>43612</v>
      </c>
      <c r="C251" s="15" t="str">
        <f>VLOOKUP(A251,Base!B:C,2,0)</f>
        <v>RESGATE APLICAÇÃO</v>
      </c>
      <c r="D251" s="15" t="str">
        <f>VLOOKUP(A251,Base!B:D,3,0)</f>
        <v>PALCOPARANÁ</v>
      </c>
      <c r="E251" s="23" t="str">
        <f>VLOOKUP($A251,Base!B:E,4,0)</f>
        <v>25.298.788/0001-95</v>
      </c>
      <c r="F251" s="24">
        <f>VLOOKUP($A251,Base!B:F,5,0)</f>
        <v>0</v>
      </c>
      <c r="G251" s="23"/>
      <c r="H251" s="17" t="s">
        <v>13</v>
      </c>
      <c r="I251" s="19">
        <v>1500</v>
      </c>
      <c r="J251" s="20"/>
      <c r="K251" s="21">
        <f t="shared" si="3"/>
        <v>253.50999999990927</v>
      </c>
    </row>
    <row r="252" spans="1:11" ht="12" customHeight="1" x14ac:dyDescent="0.25">
      <c r="A252" s="28">
        <v>5</v>
      </c>
      <c r="B252" s="14">
        <v>43612</v>
      </c>
      <c r="C252" s="15" t="str">
        <f>VLOOKUP(A252,Base!B:C,2,0)</f>
        <v>RESGATE APLICAÇÃO</v>
      </c>
      <c r="D252" s="15" t="str">
        <f>VLOOKUP(A252,Base!B:D,3,0)</f>
        <v>PALCOPARANÁ</v>
      </c>
      <c r="E252" s="23" t="str">
        <f>VLOOKUP($A252,Base!B:E,4,0)</f>
        <v>25.298.788/0001-95</v>
      </c>
      <c r="F252" s="24">
        <f>VLOOKUP($A252,Base!B:F,5,0)</f>
        <v>0</v>
      </c>
      <c r="G252" s="23"/>
      <c r="H252" s="17" t="s">
        <v>13</v>
      </c>
      <c r="I252" s="19">
        <v>4.17</v>
      </c>
      <c r="J252" s="20"/>
      <c r="K252" s="21">
        <f t="shared" si="3"/>
        <v>257.67999999990928</v>
      </c>
    </row>
    <row r="253" spans="1:11" ht="12" customHeight="1" x14ac:dyDescent="0.25">
      <c r="A253" s="28">
        <v>31</v>
      </c>
      <c r="B253" s="14">
        <v>43613</v>
      </c>
      <c r="C253" s="15" t="str">
        <f>VLOOKUP(A253,Base!B:C,2,0)</f>
        <v>3.3.90.39.04 - DIREITOS AUTORAIS</v>
      </c>
      <c r="D253" s="15" t="s">
        <v>68</v>
      </c>
      <c r="E253" s="23" t="s">
        <v>69</v>
      </c>
      <c r="F253" s="24" t="str">
        <f>VLOOKUP($A253,Base!B:F,5,0)</f>
        <v>RECIBO</v>
      </c>
      <c r="G253" s="23"/>
      <c r="H253" s="17" t="s">
        <v>177</v>
      </c>
      <c r="I253" s="19"/>
      <c r="J253" s="20">
        <v>69</v>
      </c>
      <c r="K253" s="21">
        <f t="shared" si="3"/>
        <v>188.67999999990928</v>
      </c>
    </row>
    <row r="254" spans="1:11" ht="12" customHeight="1" x14ac:dyDescent="0.25">
      <c r="A254" s="28">
        <v>31</v>
      </c>
      <c r="B254" s="14">
        <v>43613</v>
      </c>
      <c r="C254" s="15" t="str">
        <f>VLOOKUP(A254,Base!B:C,2,0)</f>
        <v>3.3.90.39.04 - DIREITOS AUTORAIS</v>
      </c>
      <c r="D254" s="15" t="s">
        <v>68</v>
      </c>
      <c r="E254" s="23" t="s">
        <v>69</v>
      </c>
      <c r="F254" s="24" t="str">
        <f>VLOOKUP($A254,Base!B:F,5,0)</f>
        <v>RECIBO</v>
      </c>
      <c r="G254" s="23"/>
      <c r="H254" s="17" t="s">
        <v>178</v>
      </c>
      <c r="I254" s="19"/>
      <c r="J254" s="20">
        <v>69</v>
      </c>
      <c r="K254" s="21">
        <f t="shared" si="3"/>
        <v>119.67999999990928</v>
      </c>
    </row>
    <row r="255" spans="1:11" ht="12" customHeight="1" x14ac:dyDescent="0.25">
      <c r="A255" s="28">
        <v>31</v>
      </c>
      <c r="B255" s="14">
        <v>43614</v>
      </c>
      <c r="C255" s="15" t="str">
        <f>VLOOKUP(A255,Base!B:C,2,0)</f>
        <v>3.3.90.39.04 - DIREITOS AUTORAIS</v>
      </c>
      <c r="D255" s="15" t="s">
        <v>33</v>
      </c>
      <c r="E255" s="23" t="s">
        <v>34</v>
      </c>
      <c r="F255" s="24" t="str">
        <f>VLOOKUP($A255,Base!B:F,5,0)</f>
        <v>RECIBO</v>
      </c>
      <c r="G255" s="23"/>
      <c r="H255" s="17" t="s">
        <v>179</v>
      </c>
      <c r="I255" s="19"/>
      <c r="J255" s="20">
        <v>69</v>
      </c>
      <c r="K255" s="21">
        <f t="shared" si="3"/>
        <v>50.679999999909285</v>
      </c>
    </row>
    <row r="256" spans="1:11" ht="12" customHeight="1" x14ac:dyDescent="0.25">
      <c r="A256" s="28">
        <v>31</v>
      </c>
      <c r="B256" s="14">
        <v>43614</v>
      </c>
      <c r="C256" s="15" t="str">
        <f>VLOOKUP(A256,Base!B:C,2,0)</f>
        <v>3.3.90.39.04 - DIREITOS AUTORAIS</v>
      </c>
      <c r="D256" s="15" t="s">
        <v>36</v>
      </c>
      <c r="E256" s="23" t="s">
        <v>37</v>
      </c>
      <c r="F256" s="24" t="str">
        <f>VLOOKUP($A256,Base!B:F,5,0)</f>
        <v>RECIBO</v>
      </c>
      <c r="G256" s="23"/>
      <c r="H256" s="17" t="s">
        <v>179</v>
      </c>
      <c r="I256" s="19"/>
      <c r="J256" s="20">
        <v>69</v>
      </c>
      <c r="K256" s="21">
        <f t="shared" si="3"/>
        <v>-18.320000000090715</v>
      </c>
    </row>
    <row r="257" spans="1:11" ht="12" customHeight="1" x14ac:dyDescent="0.25">
      <c r="A257" s="28">
        <v>14</v>
      </c>
      <c r="B257" s="14">
        <v>43614</v>
      </c>
      <c r="C257" s="15" t="str">
        <f>VLOOKUP(A257,Base!B:C,2,0)</f>
        <v>3.3.90.39.39 - ENCARGOS FINANCEIROS INDEDUTÍVEIS</v>
      </c>
      <c r="D257" s="15" t="str">
        <f>VLOOKUP(A257,Base!B:D,3,0)</f>
        <v>BANCO DO BRASIL</v>
      </c>
      <c r="E257" s="23">
        <f>VLOOKUP($A257,Base!B:E,4,0)</f>
        <v>191</v>
      </c>
      <c r="F257" s="24" t="str">
        <f>VLOOKUP($A257,Base!B:F,5,0)</f>
        <v>AVISO DE DÉBITO</v>
      </c>
      <c r="G257" s="23"/>
      <c r="H257" s="17" t="s">
        <v>180</v>
      </c>
      <c r="I257" s="19"/>
      <c r="J257" s="20">
        <v>10.18</v>
      </c>
      <c r="K257" s="21">
        <f t="shared" si="3"/>
        <v>-28.500000000090715</v>
      </c>
    </row>
    <row r="258" spans="1:11" ht="12" customHeight="1" x14ac:dyDescent="0.25">
      <c r="A258" s="28">
        <v>14</v>
      </c>
      <c r="B258" s="14">
        <v>43614</v>
      </c>
      <c r="C258" s="15" t="str">
        <f>VLOOKUP(A258,Base!B:C,2,0)</f>
        <v>3.3.90.39.39 - ENCARGOS FINANCEIROS INDEDUTÍVEIS</v>
      </c>
      <c r="D258" s="15" t="str">
        <f>VLOOKUP(A258,Base!B:D,3,0)</f>
        <v>BANCO DO BRASIL</v>
      </c>
      <c r="E258" s="23">
        <f>VLOOKUP($A258,Base!B:E,4,0)</f>
        <v>191</v>
      </c>
      <c r="F258" s="24" t="str">
        <f>VLOOKUP($A258,Base!B:F,5,0)</f>
        <v>AVISO DE DÉBITO</v>
      </c>
      <c r="G258" s="23"/>
      <c r="H258" s="17" t="s">
        <v>180</v>
      </c>
      <c r="I258" s="19"/>
      <c r="J258" s="20">
        <v>10.18</v>
      </c>
      <c r="K258" s="21">
        <f t="shared" si="3"/>
        <v>-38.680000000090715</v>
      </c>
    </row>
    <row r="259" spans="1:11" ht="12" customHeight="1" x14ac:dyDescent="0.25">
      <c r="A259" s="28">
        <v>5</v>
      </c>
      <c r="B259" s="14">
        <v>43614</v>
      </c>
      <c r="C259" s="15" t="str">
        <f>VLOOKUP(A259,Base!B:C,2,0)</f>
        <v>RESGATE APLICAÇÃO</v>
      </c>
      <c r="D259" s="15" t="str">
        <f>VLOOKUP(A259,Base!B:D,3,0)</f>
        <v>PALCOPARANÁ</v>
      </c>
      <c r="E259" s="23" t="str">
        <f>VLOOKUP($A259,Base!B:E,4,0)</f>
        <v>25.298.788/0001-95</v>
      </c>
      <c r="F259" s="24">
        <f>VLOOKUP($A259,Base!B:F,5,0)</f>
        <v>0</v>
      </c>
      <c r="G259" s="23"/>
      <c r="H259" s="17" t="str">
        <f>VLOOKUP($A259,Base!B1:H47,7,0)</f>
        <v>RESGATE APLICAÇÃO</v>
      </c>
      <c r="I259" s="19">
        <v>500</v>
      </c>
      <c r="J259" s="20"/>
      <c r="K259" s="21">
        <f t="shared" ref="K259:K322" si="4">K258+I259-J259</f>
        <v>461.31999999990927</v>
      </c>
    </row>
    <row r="260" spans="1:11" ht="12" customHeight="1" x14ac:dyDescent="0.25">
      <c r="A260" s="28">
        <v>5</v>
      </c>
      <c r="B260" s="14">
        <v>43614</v>
      </c>
      <c r="C260" s="15" t="str">
        <f>VLOOKUP(A260,Base!B:C,2,0)</f>
        <v>RESGATE APLICAÇÃO</v>
      </c>
      <c r="D260" s="15" t="str">
        <f>VLOOKUP(A260,Base!B:D,3,0)</f>
        <v>PALCOPARANÁ</v>
      </c>
      <c r="E260" s="23" t="str">
        <f>VLOOKUP($A260,Base!B:E,4,0)</f>
        <v>25.298.788/0001-95</v>
      </c>
      <c r="F260" s="24">
        <f>VLOOKUP($A260,Base!B:F,5,0)</f>
        <v>0</v>
      </c>
      <c r="G260" s="23"/>
      <c r="H260" s="17" t="str">
        <f>VLOOKUP($A260,Base!B2:H48,7,0)</f>
        <v>RESGATE APLICAÇÃO</v>
      </c>
      <c r="I260" s="19">
        <v>1.62</v>
      </c>
      <c r="J260" s="20"/>
      <c r="K260" s="21">
        <f t="shared" si="4"/>
        <v>462.93999999990928</v>
      </c>
    </row>
    <row r="261" spans="1:11" ht="12" customHeight="1" x14ac:dyDescent="0.25">
      <c r="A261" s="28">
        <v>14</v>
      </c>
      <c r="B261" s="14">
        <v>43615</v>
      </c>
      <c r="C261" s="15" t="str">
        <f>VLOOKUP(A261,Base!B:C,2,0)</f>
        <v>3.3.90.39.39 - ENCARGOS FINANCEIROS INDEDUTÍVEIS</v>
      </c>
      <c r="D261" s="15" t="str">
        <f>VLOOKUP(A261,Base!B:D,3,0)</f>
        <v>BANCO DO BRASIL</v>
      </c>
      <c r="E261" s="23">
        <f>VLOOKUP($A261,Base!B:E,4,0)</f>
        <v>191</v>
      </c>
      <c r="F261" s="24" t="str">
        <f>VLOOKUP($A261,Base!B:F,5,0)</f>
        <v>AVISO DE DÉBITO</v>
      </c>
      <c r="G261" s="23"/>
      <c r="H261" s="17" t="s">
        <v>181</v>
      </c>
      <c r="I261" s="19"/>
      <c r="J261" s="20">
        <v>11.4</v>
      </c>
      <c r="K261" s="21">
        <f t="shared" si="4"/>
        <v>451.5399999999093</v>
      </c>
    </row>
    <row r="262" spans="1:11" ht="12" customHeight="1" x14ac:dyDescent="0.25">
      <c r="A262" s="28">
        <v>14</v>
      </c>
      <c r="B262" s="14">
        <v>43615</v>
      </c>
      <c r="C262" s="15" t="str">
        <f>VLOOKUP(A262,Base!B:C,2,0)</f>
        <v>3.3.90.39.39 - ENCARGOS FINANCEIROS INDEDUTÍVEIS</v>
      </c>
      <c r="D262" s="15" t="str">
        <f>VLOOKUP(A262,Base!B:D,3,0)</f>
        <v>BANCO DO BRASIL</v>
      </c>
      <c r="E262" s="23">
        <f>VLOOKUP($A262,Base!B:E,4,0)</f>
        <v>191</v>
      </c>
      <c r="F262" s="24" t="str">
        <f>VLOOKUP($A262,Base!B:F,5,0)</f>
        <v>AVISO DE DÉBITO</v>
      </c>
      <c r="G262" s="23"/>
      <c r="H262" s="17" t="s">
        <v>182</v>
      </c>
      <c r="I262" s="19"/>
      <c r="J262" s="20">
        <v>11.4</v>
      </c>
      <c r="K262" s="21">
        <f t="shared" si="4"/>
        <v>440.13999999990932</v>
      </c>
    </row>
    <row r="263" spans="1:11" ht="12" customHeight="1" x14ac:dyDescent="0.25">
      <c r="A263" s="28">
        <v>14</v>
      </c>
      <c r="B263" s="14">
        <v>43615</v>
      </c>
      <c r="C263" s="15" t="str">
        <f>VLOOKUP(A263,Base!B:C,2,0)</f>
        <v>3.3.90.39.39 - ENCARGOS FINANCEIROS INDEDUTÍVEIS</v>
      </c>
      <c r="D263" s="15" t="str">
        <f>VLOOKUP(A263,Base!B:D,3,0)</f>
        <v>BANCO DO BRASIL</v>
      </c>
      <c r="E263" s="23">
        <f>VLOOKUP($A263,Base!B:E,4,0)</f>
        <v>191</v>
      </c>
      <c r="F263" s="24" t="str">
        <f>VLOOKUP($A263,Base!B:F,5,0)</f>
        <v>AVISO DE DÉBITO</v>
      </c>
      <c r="G263" s="23"/>
      <c r="H263" s="17" t="s">
        <v>183</v>
      </c>
      <c r="I263" s="19"/>
      <c r="J263" s="20">
        <v>11.4</v>
      </c>
      <c r="K263" s="21">
        <f t="shared" si="4"/>
        <v>428.73999999990934</v>
      </c>
    </row>
    <row r="264" spans="1:11" ht="12" customHeight="1" x14ac:dyDescent="0.25">
      <c r="A264" s="28">
        <v>14</v>
      </c>
      <c r="B264" s="14">
        <v>43615</v>
      </c>
      <c r="C264" s="15" t="str">
        <f>VLOOKUP(A264,Base!B:C,2,0)</f>
        <v>3.3.90.39.39 - ENCARGOS FINANCEIROS INDEDUTÍVEIS</v>
      </c>
      <c r="D264" s="15" t="str">
        <f>VLOOKUP(A264,Base!B:D,3,0)</f>
        <v>BANCO DO BRASIL</v>
      </c>
      <c r="E264" s="23">
        <f>VLOOKUP($A264,Base!B:E,4,0)</f>
        <v>191</v>
      </c>
      <c r="F264" s="24" t="str">
        <f>VLOOKUP($A264,Base!B:F,5,0)</f>
        <v>AVISO DE DÉBITO</v>
      </c>
      <c r="G264" s="23"/>
      <c r="H264" s="17" t="s">
        <v>184</v>
      </c>
      <c r="I264" s="19"/>
      <c r="J264" s="20">
        <v>11.4</v>
      </c>
      <c r="K264" s="21">
        <f t="shared" si="4"/>
        <v>417.33999999990937</v>
      </c>
    </row>
    <row r="265" spans="1:11" ht="12" customHeight="1" x14ac:dyDescent="0.25">
      <c r="A265" s="28">
        <v>14</v>
      </c>
      <c r="B265" s="14">
        <v>43615</v>
      </c>
      <c r="C265" s="15" t="str">
        <f>VLOOKUP(A265,Base!B:C,2,0)</f>
        <v>3.3.90.39.39 - ENCARGOS FINANCEIROS INDEDUTÍVEIS</v>
      </c>
      <c r="D265" s="15" t="str">
        <f>VLOOKUP(A265,Base!B:D,3,0)</f>
        <v>BANCO DO BRASIL</v>
      </c>
      <c r="E265" s="23">
        <f>VLOOKUP($A265,Base!B:E,4,0)</f>
        <v>191</v>
      </c>
      <c r="F265" s="24" t="str">
        <f>VLOOKUP($A265,Base!B:F,5,0)</f>
        <v>AVISO DE DÉBITO</v>
      </c>
      <c r="G265" s="23"/>
      <c r="H265" s="17" t="s">
        <v>185</v>
      </c>
      <c r="I265" s="19"/>
      <c r="J265" s="20">
        <v>5.7</v>
      </c>
      <c r="K265" s="21">
        <f t="shared" si="4"/>
        <v>411.63999999990938</v>
      </c>
    </row>
    <row r="266" spans="1:11" ht="12" customHeight="1" x14ac:dyDescent="0.25">
      <c r="A266" s="28">
        <v>9</v>
      </c>
      <c r="B266" s="14">
        <v>43616</v>
      </c>
      <c r="C266" s="15" t="str">
        <f>VLOOKUP(A266,Base!B:C,2,0)</f>
        <v>3.3.90.39.12 - LOCAÇÃO DE MÁQUINAS E EQUIPAMENTOS</v>
      </c>
      <c r="D266" s="15" t="str">
        <f>VLOOKUP(A266,Base!B:D,3,0)</f>
        <v>INTERATIVA SOLUÇÕES EM INFORMATICA LTDA</v>
      </c>
      <c r="E266" s="23" t="str">
        <f>VLOOKUP($A266,Base!B:E,4,0)</f>
        <v>04.192.385/0001-97</v>
      </c>
      <c r="F266" s="24" t="str">
        <f>VLOOKUP($A266,Base!B:F,5,0)</f>
        <v>NFS-e</v>
      </c>
      <c r="G266" s="23">
        <v>6845</v>
      </c>
      <c r="H266" s="17" t="str">
        <f>VLOOKUP($A266,Base!B8:H54,7,0)</f>
        <v>PGTO SERVIÇOS LOCAÇÃO DE IMPRESSORA</v>
      </c>
      <c r="I266" s="19"/>
      <c r="J266" s="20">
        <v>1169.33</v>
      </c>
      <c r="K266" s="21">
        <f t="shared" si="4"/>
        <v>-757.69000000009055</v>
      </c>
    </row>
    <row r="267" spans="1:11" ht="12" customHeight="1" x14ac:dyDescent="0.25">
      <c r="A267" s="28">
        <v>19</v>
      </c>
      <c r="B267" s="14">
        <v>43616</v>
      </c>
      <c r="C267" s="15" t="str">
        <f>VLOOKUP(A267,Base!B:C,2,0)</f>
        <v>CRÉDITO</v>
      </c>
      <c r="D267" s="15" t="str">
        <f>VLOOKUP(A267,Base!B:D,3,0)</f>
        <v>PALCOPARANÁ</v>
      </c>
      <c r="E267" s="23" t="str">
        <f>VLOOKUP($A267,Base!B:E,4,0)</f>
        <v>25.298.788/0001-95</v>
      </c>
      <c r="F267" s="24">
        <f>VLOOKUP($A267,Base!B:F,5,0)</f>
        <v>0</v>
      </c>
      <c r="G267" s="23"/>
      <c r="H267" s="17" t="s">
        <v>186</v>
      </c>
      <c r="I267" s="19">
        <v>2.33</v>
      </c>
      <c r="J267" s="20"/>
      <c r="K267" s="21">
        <f t="shared" si="4"/>
        <v>-755.36000000009051</v>
      </c>
    </row>
    <row r="268" spans="1:11" ht="12" customHeight="1" x14ac:dyDescent="0.25">
      <c r="A268" s="28">
        <v>5</v>
      </c>
      <c r="B268" s="14">
        <v>43616</v>
      </c>
      <c r="C268" s="15" t="str">
        <f>VLOOKUP(A268,Base!B:C,2,0)</f>
        <v>RESGATE APLICAÇÃO</v>
      </c>
      <c r="D268" s="15" t="str">
        <f>VLOOKUP(A268,Base!B:D,3,0)</f>
        <v>PALCOPARANÁ</v>
      </c>
      <c r="E268" s="23" t="str">
        <f>VLOOKUP($A268,Base!B:E,4,0)</f>
        <v>25.298.788/0001-95</v>
      </c>
      <c r="F268" s="24">
        <f>VLOOKUP($A268,Base!B:F,5,0)</f>
        <v>0</v>
      </c>
      <c r="G268" s="23"/>
      <c r="H268" s="17" t="str">
        <f>VLOOKUP($A268,Base!B1:H47,7,0)</f>
        <v>RESGATE APLICAÇÃO</v>
      </c>
      <c r="I268" s="19">
        <v>1000</v>
      </c>
      <c r="J268" s="20"/>
      <c r="K268" s="21">
        <f t="shared" si="4"/>
        <v>244.63999999990949</v>
      </c>
    </row>
    <row r="269" spans="1:11" ht="12" customHeight="1" x14ac:dyDescent="0.25">
      <c r="A269" s="28">
        <v>5</v>
      </c>
      <c r="B269" s="14">
        <v>43616</v>
      </c>
      <c r="C269" s="15" t="str">
        <f>VLOOKUP(A269,Base!B:C,2,0)</f>
        <v>RESGATE APLICAÇÃO</v>
      </c>
      <c r="D269" s="15" t="str">
        <f>VLOOKUP(A269,Base!B:D,3,0)</f>
        <v>PALCOPARANÁ</v>
      </c>
      <c r="E269" s="23" t="str">
        <f>VLOOKUP($A269,Base!B:E,4,0)</f>
        <v>25.298.788/0001-95</v>
      </c>
      <c r="F269" s="24">
        <f>VLOOKUP($A269,Base!B:F,5,0)</f>
        <v>0</v>
      </c>
      <c r="G269" s="23"/>
      <c r="H269" s="17" t="str">
        <f>VLOOKUP($A269,Base!B2:H48,7,0)</f>
        <v>RESGATE APLICAÇÃO</v>
      </c>
      <c r="I269" s="19">
        <v>3.7</v>
      </c>
      <c r="J269" s="20"/>
      <c r="K269" s="21">
        <f t="shared" si="4"/>
        <v>248.33999999990948</v>
      </c>
    </row>
    <row r="270" spans="1:11" ht="12" customHeight="1" x14ac:dyDescent="0.25">
      <c r="A270" s="28">
        <v>6</v>
      </c>
      <c r="B270" s="14">
        <v>43619</v>
      </c>
      <c r="C270" s="15" t="str">
        <f>VLOOKUP(A270,Base!B:C,2,0)</f>
        <v>3.1.90.11.61 - VENCIMENTOS E SALÁRIOS</v>
      </c>
      <c r="D270" s="15" t="s">
        <v>187</v>
      </c>
      <c r="E270" s="23" t="s">
        <v>188</v>
      </c>
      <c r="F270" s="24" t="str">
        <f>VLOOKUP($A270,Base!B:F,5,0)</f>
        <v>HOLERITE</v>
      </c>
      <c r="G270" s="23"/>
      <c r="H270" s="17" t="s">
        <v>189</v>
      </c>
      <c r="I270" s="19"/>
      <c r="J270" s="20">
        <v>1924.49</v>
      </c>
      <c r="K270" s="21">
        <f t="shared" si="4"/>
        <v>-1676.1500000000906</v>
      </c>
    </row>
    <row r="271" spans="1:11" ht="12" customHeight="1" x14ac:dyDescent="0.25">
      <c r="A271" s="28">
        <v>1</v>
      </c>
      <c r="B271" s="14">
        <v>43619</v>
      </c>
      <c r="C271" s="15" t="str">
        <f>VLOOKUP(A271,Base!B:C,2,0)</f>
        <v>3.1.90.11.61 - VENCIMENTOS E SALÁRIOS</v>
      </c>
      <c r="D271" s="15" t="str">
        <f>VLOOKUP(A271,Base!B:D,3,0)</f>
        <v>COLABORADORES DIVERSOS</v>
      </c>
      <c r="E271" s="23">
        <f>VLOOKUP($A271,Base!B:E,4,0)</f>
        <v>0</v>
      </c>
      <c r="F271" s="24" t="str">
        <f>VLOOKUP($A271,Base!B:F,5,0)</f>
        <v>HOLERITE</v>
      </c>
      <c r="G271" s="23"/>
      <c r="H271" s="17" t="s">
        <v>190</v>
      </c>
      <c r="I271" s="19"/>
      <c r="J271" s="20">
        <v>201028</v>
      </c>
      <c r="K271" s="21">
        <f t="shared" si="4"/>
        <v>-202704.15000000008</v>
      </c>
    </row>
    <row r="272" spans="1:11" ht="12" customHeight="1" x14ac:dyDescent="0.25">
      <c r="A272" s="28">
        <v>3</v>
      </c>
      <c r="B272" s="14">
        <v>43619</v>
      </c>
      <c r="C272" s="15" t="str">
        <f>VLOOKUP(A272,Base!B:C,2,0)</f>
        <v>3.1.90.46.03 - AUXÍLIO-ALIMENTAÇÃO</v>
      </c>
      <c r="D272" s="15" t="str">
        <f>VLOOKUP(A272,Base!B:D,3,0)</f>
        <v>COLABORADORES DIVERSOS</v>
      </c>
      <c r="E272" s="23">
        <f>VLOOKUP($A272,Base!B:E,4,0)</f>
        <v>0</v>
      </c>
      <c r="F272" s="24" t="str">
        <f>VLOOKUP($A272,Base!B:F,5,0)</f>
        <v>RECIBO</v>
      </c>
      <c r="G272" s="23"/>
      <c r="H272" s="17" t="s">
        <v>191</v>
      </c>
      <c r="I272" s="19"/>
      <c r="J272" s="20">
        <v>2848</v>
      </c>
      <c r="K272" s="21">
        <f t="shared" si="4"/>
        <v>-205552.15000000008</v>
      </c>
    </row>
    <row r="273" spans="1:11" ht="12" customHeight="1" x14ac:dyDescent="0.25">
      <c r="A273" s="28">
        <v>13</v>
      </c>
      <c r="B273" s="14">
        <v>43619</v>
      </c>
      <c r="C273" s="15" t="str">
        <f>VLOOKUP(A273,Base!B:C,2,0)</f>
        <v>3.1.90.46.03 - AUXÍLIO-ALIMENTAÇÃO</v>
      </c>
      <c r="D273" s="15"/>
      <c r="E273" s="23">
        <f>VLOOKUP($A273,Base!B:E,4,0)</f>
        <v>0</v>
      </c>
      <c r="F273" s="24" t="str">
        <f>VLOOKUP($A273,Base!B:F,5,0)</f>
        <v>RECIBO</v>
      </c>
      <c r="G273" s="23"/>
      <c r="H273" s="17" t="s">
        <v>192</v>
      </c>
      <c r="I273" s="19"/>
      <c r="J273" s="20">
        <v>480</v>
      </c>
      <c r="K273" s="21">
        <f t="shared" si="4"/>
        <v>-206032.15000000008</v>
      </c>
    </row>
    <row r="274" spans="1:11" ht="12" customHeight="1" x14ac:dyDescent="0.25">
      <c r="A274" s="28">
        <v>30</v>
      </c>
      <c r="B274" s="14">
        <v>43619</v>
      </c>
      <c r="C274" s="15" t="str">
        <f>VLOOKUP(A274,Base!B:C,2,0)</f>
        <v>3.3.90.14.03 - AJUDA DE CUSTO PARA VIAGEM</v>
      </c>
      <c r="D274" s="15" t="str">
        <f>VLOOKUP(A274,Base!B:D,3,0)</f>
        <v>COLABORADORES DIVERSOS</v>
      </c>
      <c r="E274" s="23">
        <f>VLOOKUP($A274,Base!B:E,4,0)</f>
        <v>0</v>
      </c>
      <c r="F274" s="24" t="str">
        <f>VLOOKUP($A274,Base!B:F,5,0)</f>
        <v>RECIBO</v>
      </c>
      <c r="G274" s="23"/>
      <c r="H274" s="17" t="s">
        <v>193</v>
      </c>
      <c r="I274" s="19"/>
      <c r="J274" s="20">
        <v>1173</v>
      </c>
      <c r="K274" s="21">
        <f t="shared" si="4"/>
        <v>-207205.15000000008</v>
      </c>
    </row>
    <row r="275" spans="1:11" ht="12" customHeight="1" x14ac:dyDescent="0.25">
      <c r="A275" s="28">
        <v>31</v>
      </c>
      <c r="B275" s="14">
        <v>43619</v>
      </c>
      <c r="C275" s="15" t="str">
        <f>VLOOKUP(A275,Base!B:C,2,0)</f>
        <v>3.3.90.39.04 - DIREITOS AUTORAIS</v>
      </c>
      <c r="D275" s="15"/>
      <c r="E275" s="23">
        <f>VLOOKUP($A275,Base!B:E,4,0)</f>
        <v>0</v>
      </c>
      <c r="F275" s="24" t="str">
        <f>VLOOKUP($A275,Base!B:F,5,0)</f>
        <v>RECIBO</v>
      </c>
      <c r="G275" s="23"/>
      <c r="H275" s="17" t="s">
        <v>194</v>
      </c>
      <c r="I275" s="19"/>
      <c r="J275" s="20">
        <v>138</v>
      </c>
      <c r="K275" s="21">
        <f t="shared" si="4"/>
        <v>-207343.15000000008</v>
      </c>
    </row>
    <row r="276" spans="1:11" ht="12" customHeight="1" x14ac:dyDescent="0.25">
      <c r="A276" s="28">
        <v>32</v>
      </c>
      <c r="B276" s="14">
        <v>43619</v>
      </c>
      <c r="C276" s="15" t="str">
        <f>VLOOKUP(A276,Base!B:C,2,0)</f>
        <v>3.3.90.39.48 - SERVIÇO DE SELEÇÃO E TREINAMENTO</v>
      </c>
      <c r="D276" s="25" t="s">
        <v>195</v>
      </c>
      <c r="E276" s="26" t="s">
        <v>196</v>
      </c>
      <c r="F276" s="24" t="str">
        <f>VLOOKUP($A276,Base!B:F,5,0)</f>
        <v>NFS-e</v>
      </c>
      <c r="G276" s="23">
        <v>4423</v>
      </c>
      <c r="H276" s="17" t="s">
        <v>197</v>
      </c>
      <c r="I276" s="19"/>
      <c r="J276" s="20">
        <v>4470</v>
      </c>
      <c r="K276" s="21">
        <f t="shared" si="4"/>
        <v>-211813.15000000008</v>
      </c>
    </row>
    <row r="277" spans="1:11" ht="12" customHeight="1" x14ac:dyDescent="0.25">
      <c r="A277" s="28">
        <v>2</v>
      </c>
      <c r="B277" s="14">
        <v>43619</v>
      </c>
      <c r="C277" s="15" t="str">
        <f>VLOOKUP(A277,Base!B:C,2,0)</f>
        <v>3.1.90.11.61 - VENCIMENTOS E SALÁRIOS</v>
      </c>
      <c r="D277" s="15" t="str">
        <f>VLOOKUP(A277,Base!B:D,3,0)</f>
        <v>NICOLE BARÃO RAFFS</v>
      </c>
      <c r="E277" s="23" t="str">
        <f>VLOOKUP($A277,Base!B:E,4,0)</f>
        <v>020.621.669-66</v>
      </c>
      <c r="F277" s="24" t="str">
        <f>VLOOKUP($A277,Base!B:F,5,0)</f>
        <v>HOLERITE</v>
      </c>
      <c r="G277" s="23"/>
      <c r="H277" s="17" t="s">
        <v>189</v>
      </c>
      <c r="I277" s="19"/>
      <c r="J277" s="20">
        <v>8830.92</v>
      </c>
      <c r="K277" s="21">
        <f t="shared" si="4"/>
        <v>-220644.07000000009</v>
      </c>
    </row>
    <row r="278" spans="1:11" ht="12" customHeight="1" x14ac:dyDescent="0.25">
      <c r="A278" s="28">
        <v>5</v>
      </c>
      <c r="B278" s="14">
        <v>43619</v>
      </c>
      <c r="C278" s="15" t="str">
        <f>VLOOKUP(A278,Base!B:C,2,0)</f>
        <v>RESGATE APLICAÇÃO</v>
      </c>
      <c r="D278" s="15" t="str">
        <f>VLOOKUP(A278,Base!B:D,3,0)</f>
        <v>PALCOPARANÁ</v>
      </c>
      <c r="E278" s="23" t="str">
        <f>VLOOKUP($A278,Base!B:E,4,0)</f>
        <v>25.298.788/0001-95</v>
      </c>
      <c r="F278" s="24">
        <f>VLOOKUP($A278,Base!B:F,5,0)</f>
        <v>0</v>
      </c>
      <c r="G278" s="23"/>
      <c r="H278" s="17" t="str">
        <f>VLOOKUP($A278,Base!B1:H47,7,0)</f>
        <v>RESGATE APLICAÇÃO</v>
      </c>
      <c r="I278" s="19">
        <v>221000</v>
      </c>
      <c r="J278" s="20"/>
      <c r="K278" s="21">
        <f t="shared" si="4"/>
        <v>355.9299999999057</v>
      </c>
    </row>
    <row r="279" spans="1:11" ht="12" customHeight="1" x14ac:dyDescent="0.25">
      <c r="A279" s="28">
        <v>5</v>
      </c>
      <c r="B279" s="14">
        <v>43619</v>
      </c>
      <c r="C279" s="15" t="str">
        <f>VLOOKUP(A279,Base!B:C,2,0)</f>
        <v>RESGATE APLICAÇÃO</v>
      </c>
      <c r="D279" s="15" t="str">
        <f>VLOOKUP(A279,Base!B:D,3,0)</f>
        <v>PALCOPARANÁ</v>
      </c>
      <c r="E279" s="23" t="str">
        <f>VLOOKUP($A279,Base!B:E,4,0)</f>
        <v>25.298.788/0001-95</v>
      </c>
      <c r="F279" s="24">
        <f>VLOOKUP($A279,Base!B:F,5,0)</f>
        <v>0</v>
      </c>
      <c r="G279" s="23"/>
      <c r="H279" s="17" t="str">
        <f>VLOOKUP($A279,Base!B2:H48,7,0)</f>
        <v>RESGATE APLICAÇÃO</v>
      </c>
      <c r="I279" s="19">
        <v>870.74</v>
      </c>
      <c r="J279" s="20"/>
      <c r="K279" s="21">
        <f t="shared" si="4"/>
        <v>1226.6699999999057</v>
      </c>
    </row>
    <row r="280" spans="1:11" ht="12" customHeight="1" x14ac:dyDescent="0.25">
      <c r="A280" s="28">
        <v>33</v>
      </c>
      <c r="B280" s="14">
        <v>43620</v>
      </c>
      <c r="C280" s="15" t="str">
        <f>VLOOKUP(A280,Base!B:C,2,0)</f>
        <v>3.3.90.52.35 - EQUIPAMENTOS DE PROCESSAMENTO DE DADOS</v>
      </c>
      <c r="D280" s="25" t="s">
        <v>198</v>
      </c>
      <c r="E280" s="26" t="s">
        <v>199</v>
      </c>
      <c r="F280" s="24" t="str">
        <f>VLOOKUP($A280,Base!B:F,5,0)</f>
        <v>NF-e</v>
      </c>
      <c r="G280" s="23">
        <v>8668</v>
      </c>
      <c r="H280" s="17" t="s">
        <v>200</v>
      </c>
      <c r="I280" s="19"/>
      <c r="J280" s="20">
        <v>14176.8</v>
      </c>
      <c r="K280" s="21">
        <f t="shared" si="4"/>
        <v>-12950.130000000094</v>
      </c>
    </row>
    <row r="281" spans="1:11" ht="12" customHeight="1" x14ac:dyDescent="0.25">
      <c r="A281" s="28">
        <v>31</v>
      </c>
      <c r="B281" s="14">
        <v>43620</v>
      </c>
      <c r="C281" s="15" t="str">
        <f>VLOOKUP(A281,Base!B:C,2,0)</f>
        <v>3.3.90.39.04 - DIREITOS AUTORAIS</v>
      </c>
      <c r="D281" s="15" t="s">
        <v>62</v>
      </c>
      <c r="E281" s="23" t="s">
        <v>120</v>
      </c>
      <c r="F281" s="24" t="str">
        <f>VLOOKUP($A281,Base!B:F,5,0)</f>
        <v>RECIBO</v>
      </c>
      <c r="G281" s="23"/>
      <c r="H281" s="17" t="s">
        <v>201</v>
      </c>
      <c r="I281" s="19"/>
      <c r="J281" s="20">
        <v>54</v>
      </c>
      <c r="K281" s="21">
        <f t="shared" si="4"/>
        <v>-13004.130000000094</v>
      </c>
    </row>
    <row r="282" spans="1:11" ht="12" customHeight="1" x14ac:dyDescent="0.25">
      <c r="A282" s="28">
        <v>4</v>
      </c>
      <c r="B282" s="14">
        <v>43620</v>
      </c>
      <c r="C282" s="15" t="str">
        <f>VLOOKUP(A282,Base!B:C,2,0)</f>
        <v>3.3.90.39.47 - SERVIÇO DE COMUNICAÇÃO EM GERAL</v>
      </c>
      <c r="D282" s="15" t="str">
        <f>VLOOKUP(A282,Base!B:D,3,0)</f>
        <v>DPTO DE IMPRENSA OFICIAL ESTADO DO PARANÁ</v>
      </c>
      <c r="E282" s="23" t="str">
        <f>VLOOKUP($A282,Base!B:E,4,0)</f>
        <v>76.437.383/0001-21</v>
      </c>
      <c r="F282" s="24" t="str">
        <f>VLOOKUP($A282,Base!B:F,5,0)</f>
        <v>NOTA FISCAL</v>
      </c>
      <c r="G282" s="23">
        <v>201929660</v>
      </c>
      <c r="H282" s="17" t="s">
        <v>202</v>
      </c>
      <c r="I282" s="19"/>
      <c r="J282" s="20">
        <v>240</v>
      </c>
      <c r="K282" s="21">
        <f t="shared" si="4"/>
        <v>-13244.130000000094</v>
      </c>
    </row>
    <row r="283" spans="1:11" ht="12" customHeight="1" x14ac:dyDescent="0.25">
      <c r="A283" s="28">
        <v>5</v>
      </c>
      <c r="B283" s="14">
        <v>43620</v>
      </c>
      <c r="C283" s="15" t="str">
        <f>VLOOKUP(A283,Base!B:C,2,0)</f>
        <v>RESGATE APLICAÇÃO</v>
      </c>
      <c r="D283" s="15" t="str">
        <f>VLOOKUP(A283,Base!B:D,3,0)</f>
        <v>PALCOPARANÁ</v>
      </c>
      <c r="E283" s="23" t="str">
        <f>VLOOKUP($A283,Base!B:E,4,0)</f>
        <v>25.298.788/0001-95</v>
      </c>
      <c r="F283" s="24">
        <f>VLOOKUP($A283,Base!B:F,5,0)</f>
        <v>0</v>
      </c>
      <c r="G283" s="23"/>
      <c r="H283" s="17" t="str">
        <f>VLOOKUP($A283,Base!B1:H47,7,0)</f>
        <v>RESGATE APLICAÇÃO</v>
      </c>
      <c r="I283" s="19">
        <v>13500</v>
      </c>
      <c r="J283" s="20"/>
      <c r="K283" s="21">
        <f t="shared" si="4"/>
        <v>255.86999999990621</v>
      </c>
    </row>
    <row r="284" spans="1:11" ht="12" customHeight="1" x14ac:dyDescent="0.25">
      <c r="A284" s="28">
        <v>5</v>
      </c>
      <c r="B284" s="14">
        <v>43620</v>
      </c>
      <c r="C284" s="15" t="str">
        <f>VLOOKUP(A284,Base!B:C,2,0)</f>
        <v>RESGATE APLICAÇÃO</v>
      </c>
      <c r="D284" s="15" t="str">
        <f>VLOOKUP(A284,Base!B:D,3,0)</f>
        <v>PALCOPARANÁ</v>
      </c>
      <c r="E284" s="23" t="str">
        <f>VLOOKUP($A284,Base!B:E,4,0)</f>
        <v>25.298.788/0001-95</v>
      </c>
      <c r="F284" s="24">
        <f>VLOOKUP($A284,Base!B:F,5,0)</f>
        <v>0</v>
      </c>
      <c r="G284" s="23"/>
      <c r="H284" s="17" t="str">
        <f>VLOOKUP($A284,Base!B2:H48,7,0)</f>
        <v>RESGATE APLICAÇÃO</v>
      </c>
      <c r="I284" s="19">
        <v>56.16</v>
      </c>
      <c r="J284" s="20"/>
      <c r="K284" s="21">
        <f t="shared" si="4"/>
        <v>312.02999999990618</v>
      </c>
    </row>
    <row r="285" spans="1:11" ht="12" customHeight="1" x14ac:dyDescent="0.25">
      <c r="A285" s="28">
        <v>27</v>
      </c>
      <c r="B285" s="14">
        <v>43621</v>
      </c>
      <c r="C285" s="15" t="str">
        <f>VLOOKUP(A285,Base!B:C,2,0)</f>
        <v>3.1.90.11.64 - FÉRIAS VENCIDAS OU PROPORCIONAIS - RGPS</v>
      </c>
      <c r="D285" s="15" t="s">
        <v>203</v>
      </c>
      <c r="E285" s="23" t="s">
        <v>204</v>
      </c>
      <c r="F285" s="24" t="str">
        <f>VLOOKUP($A285,Base!B:F,5,0)</f>
        <v>RECIBO</v>
      </c>
      <c r="G285" s="23"/>
      <c r="H285" s="17" t="s">
        <v>205</v>
      </c>
      <c r="I285" s="19"/>
      <c r="J285" s="20">
        <v>5850.08</v>
      </c>
      <c r="K285" s="21">
        <f t="shared" si="4"/>
        <v>-5538.0500000000939</v>
      </c>
    </row>
    <row r="286" spans="1:11" ht="12" customHeight="1" x14ac:dyDescent="0.25">
      <c r="A286" s="28">
        <v>31</v>
      </c>
      <c r="B286" s="14">
        <v>43621</v>
      </c>
      <c r="C286" s="15" t="str">
        <f>VLOOKUP(A286,Base!B:C,2,0)</f>
        <v>3.3.90.39.04 - DIREITOS AUTORAIS</v>
      </c>
      <c r="D286" s="15" t="s">
        <v>33</v>
      </c>
      <c r="E286" s="23" t="s">
        <v>34</v>
      </c>
      <c r="F286" s="24" t="str">
        <f>VLOOKUP($A286,Base!B:F,5,0)</f>
        <v>RECIBO</v>
      </c>
      <c r="G286" s="23"/>
      <c r="H286" s="17" t="s">
        <v>206</v>
      </c>
      <c r="I286" s="19"/>
      <c r="J286" s="20">
        <v>69</v>
      </c>
      <c r="K286" s="21">
        <f t="shared" si="4"/>
        <v>-5607.0500000000939</v>
      </c>
    </row>
    <row r="287" spans="1:11" ht="12" customHeight="1" x14ac:dyDescent="0.25">
      <c r="A287" s="28">
        <v>31</v>
      </c>
      <c r="B287" s="14">
        <v>43621</v>
      </c>
      <c r="C287" s="15" t="str">
        <f>VLOOKUP(A287,Base!B:C,2,0)</f>
        <v>3.3.90.39.04 - DIREITOS AUTORAIS</v>
      </c>
      <c r="D287" s="15" t="s">
        <v>36</v>
      </c>
      <c r="E287" s="23" t="s">
        <v>37</v>
      </c>
      <c r="F287" s="24" t="str">
        <f>VLOOKUP($A287,Base!B:F,5,0)</f>
        <v>RECIBO</v>
      </c>
      <c r="G287" s="23"/>
      <c r="H287" s="17" t="s">
        <v>206</v>
      </c>
      <c r="I287" s="19"/>
      <c r="J287" s="20">
        <v>69</v>
      </c>
      <c r="K287" s="21">
        <f t="shared" si="4"/>
        <v>-5676.0500000000939</v>
      </c>
    </row>
    <row r="288" spans="1:11" ht="12" customHeight="1" x14ac:dyDescent="0.25">
      <c r="A288" s="28">
        <v>13</v>
      </c>
      <c r="B288" s="14">
        <v>43621</v>
      </c>
      <c r="C288" s="15" t="str">
        <f>VLOOKUP(A288,Base!B:C,2,0)</f>
        <v>3.1.90.46.03 - AUXÍLIO-ALIMENTAÇÃO</v>
      </c>
      <c r="D288" s="15" t="s">
        <v>82</v>
      </c>
      <c r="E288" s="23" t="s">
        <v>83</v>
      </c>
      <c r="F288" s="24" t="str">
        <f>VLOOKUP($A288,Base!B:F,5,0)</f>
        <v>RECIBO</v>
      </c>
      <c r="G288" s="23"/>
      <c r="H288" s="17" t="s">
        <v>207</v>
      </c>
      <c r="I288" s="19"/>
      <c r="J288" s="20">
        <v>32</v>
      </c>
      <c r="K288" s="21">
        <f t="shared" si="4"/>
        <v>-5708.0500000000939</v>
      </c>
    </row>
    <row r="289" spans="1:11" ht="12" customHeight="1" x14ac:dyDescent="0.25">
      <c r="A289" s="28">
        <v>13</v>
      </c>
      <c r="B289" s="14">
        <v>43621</v>
      </c>
      <c r="C289" s="15" t="str">
        <f>VLOOKUP(A289,Base!B:C,2,0)</f>
        <v>3.1.90.46.03 - AUXÍLIO-ALIMENTAÇÃO</v>
      </c>
      <c r="D289" s="15" t="s">
        <v>36</v>
      </c>
      <c r="E289" s="23" t="s">
        <v>37</v>
      </c>
      <c r="F289" s="24" t="str">
        <f>VLOOKUP($A289,Base!B:F,5,0)</f>
        <v>RECIBO</v>
      </c>
      <c r="G289" s="23"/>
      <c r="H289" s="17" t="s">
        <v>207</v>
      </c>
      <c r="I289" s="19"/>
      <c r="J289" s="20">
        <v>128</v>
      </c>
      <c r="K289" s="21">
        <f t="shared" si="4"/>
        <v>-5836.0500000000939</v>
      </c>
    </row>
    <row r="290" spans="1:11" ht="12" customHeight="1" x14ac:dyDescent="0.25">
      <c r="A290" s="28">
        <v>13</v>
      </c>
      <c r="B290" s="14">
        <v>43621</v>
      </c>
      <c r="C290" s="15" t="str">
        <f>VLOOKUP(A290,Base!B:C,2,0)</f>
        <v>3.1.90.46.03 - AUXÍLIO-ALIMENTAÇÃO</v>
      </c>
      <c r="D290" s="15" t="s">
        <v>84</v>
      </c>
      <c r="E290" s="23" t="s">
        <v>85</v>
      </c>
      <c r="F290" s="24" t="str">
        <f>VLOOKUP($A290,Base!B:F,5,0)</f>
        <v>RECIBO</v>
      </c>
      <c r="G290" s="23"/>
      <c r="H290" s="17" t="s">
        <v>207</v>
      </c>
      <c r="I290" s="19"/>
      <c r="J290" s="20">
        <v>32</v>
      </c>
      <c r="K290" s="21">
        <f t="shared" si="4"/>
        <v>-5868.0500000000939</v>
      </c>
    </row>
    <row r="291" spans="1:11" ht="12" customHeight="1" x14ac:dyDescent="0.25">
      <c r="A291" s="28">
        <v>13</v>
      </c>
      <c r="B291" s="34" t="s">
        <v>208</v>
      </c>
      <c r="C291" s="15" t="str">
        <f>VLOOKUP(A291,Base!B:C,2,0)</f>
        <v>3.1.90.46.03 - AUXÍLIO-ALIMENTAÇÃO</v>
      </c>
      <c r="D291" s="15" t="s">
        <v>33</v>
      </c>
      <c r="E291" s="23" t="s">
        <v>34</v>
      </c>
      <c r="F291" s="24" t="str">
        <f>VLOOKUP($A291,Base!B:F,5,0)</f>
        <v>RECIBO</v>
      </c>
      <c r="G291" s="23"/>
      <c r="H291" s="17" t="s">
        <v>207</v>
      </c>
      <c r="I291" s="19"/>
      <c r="J291" s="20">
        <v>128</v>
      </c>
      <c r="K291" s="21">
        <f t="shared" si="4"/>
        <v>-5996.0500000000939</v>
      </c>
    </row>
    <row r="292" spans="1:11" ht="12" customHeight="1" x14ac:dyDescent="0.25">
      <c r="A292" s="28">
        <v>12</v>
      </c>
      <c r="B292" s="14">
        <v>43621</v>
      </c>
      <c r="C292" s="15" t="str">
        <f>VLOOKUP(A292,Base!B:C,2,0)</f>
        <v>3.1.90.46.03 - AUXÍLIO-ALIMENTAÇÃO</v>
      </c>
      <c r="D292" s="15" t="str">
        <f>VLOOKUP(A292,Base!B:D,3,0)</f>
        <v>NICOLE BARÃO RAFFS</v>
      </c>
      <c r="E292" s="23" t="str">
        <f>VLOOKUP($A292,Base!B:E,4,0)</f>
        <v>020.621.669-66</v>
      </c>
      <c r="F292" s="24" t="str">
        <f>VLOOKUP($A292,Base!B:F,5,0)</f>
        <v>RECIBO</v>
      </c>
      <c r="G292" s="23"/>
      <c r="H292" s="17" t="s">
        <v>207</v>
      </c>
      <c r="I292" s="19"/>
      <c r="J292" s="20">
        <v>288</v>
      </c>
      <c r="K292" s="21">
        <f t="shared" si="4"/>
        <v>-6284.0500000000939</v>
      </c>
    </row>
    <row r="293" spans="1:11" ht="12" customHeight="1" x14ac:dyDescent="0.25">
      <c r="A293" s="28">
        <v>7</v>
      </c>
      <c r="B293" s="14">
        <v>43621</v>
      </c>
      <c r="C293" s="15" t="str">
        <f>VLOOKUP(A293,Base!B:C,2,0)</f>
        <v>3.3.90.39.05 - SERVIÇOS TÉCNICOS PROFISSIONAIS</v>
      </c>
      <c r="D293" s="15" t="str">
        <f>VLOOKUP(A293,Base!B:D,3,0)</f>
        <v>SBSC CONTADORES ASSOCIADOS LTDA</v>
      </c>
      <c r="E293" s="23" t="str">
        <f>VLOOKUP($A293,Base!B:E,4,0)</f>
        <v>05.377.113/0001-24</v>
      </c>
      <c r="F293" s="24" t="str">
        <f>VLOOKUP($A293,Base!B:F,5,0)</f>
        <v>NFS-e</v>
      </c>
      <c r="G293" s="23">
        <v>769</v>
      </c>
      <c r="H293" s="17" t="s">
        <v>209</v>
      </c>
      <c r="I293" s="19"/>
      <c r="J293" s="20">
        <v>2166.66</v>
      </c>
      <c r="K293" s="21">
        <f t="shared" si="4"/>
        <v>-8450.7100000000937</v>
      </c>
    </row>
    <row r="294" spans="1:11" ht="12" customHeight="1" x14ac:dyDescent="0.25">
      <c r="A294" s="28">
        <v>14</v>
      </c>
      <c r="B294" s="14">
        <v>43621</v>
      </c>
      <c r="C294" s="15" t="str">
        <f>VLOOKUP(A294,Base!B:C,2,0)</f>
        <v>3.3.90.39.39 - ENCARGOS FINANCEIROS INDEDUTÍVEIS</v>
      </c>
      <c r="D294" s="15" t="str">
        <f>VLOOKUP(A294,Base!B:D,3,0)</f>
        <v>BANCO DO BRASIL</v>
      </c>
      <c r="E294" s="23">
        <f>VLOOKUP($A294,Base!B:E,4,0)</f>
        <v>191</v>
      </c>
      <c r="F294" s="24" t="str">
        <f>VLOOKUP($A294,Base!B:F,5,0)</f>
        <v>AVISO DE DÉBITO</v>
      </c>
      <c r="G294" s="23"/>
      <c r="H294" s="17" t="s">
        <v>210</v>
      </c>
      <c r="I294" s="19"/>
      <c r="J294" s="20">
        <v>10.18</v>
      </c>
      <c r="K294" s="21">
        <f t="shared" si="4"/>
        <v>-8460.890000000094</v>
      </c>
    </row>
    <row r="295" spans="1:11" ht="12" customHeight="1" x14ac:dyDescent="0.25">
      <c r="A295" s="28">
        <v>14</v>
      </c>
      <c r="B295" s="14">
        <v>43621</v>
      </c>
      <c r="C295" s="15" t="str">
        <f>VLOOKUP(A295,Base!B:C,2,0)</f>
        <v>3.3.90.39.39 - ENCARGOS FINANCEIROS INDEDUTÍVEIS</v>
      </c>
      <c r="D295" s="15" t="str">
        <f>VLOOKUP(A295,Base!B:D,3,0)</f>
        <v>BANCO DO BRASIL</v>
      </c>
      <c r="E295" s="23">
        <f>VLOOKUP($A295,Base!B:E,4,0)</f>
        <v>191</v>
      </c>
      <c r="F295" s="24" t="str">
        <f>VLOOKUP($A295,Base!B:F,5,0)</f>
        <v>AVISO DE DÉBITO</v>
      </c>
      <c r="G295" s="23"/>
      <c r="H295" s="17" t="s">
        <v>210</v>
      </c>
      <c r="I295" s="19"/>
      <c r="J295" s="20">
        <v>10.18</v>
      </c>
      <c r="K295" s="21">
        <f t="shared" si="4"/>
        <v>-8471.0700000000943</v>
      </c>
    </row>
    <row r="296" spans="1:11" ht="12" customHeight="1" x14ac:dyDescent="0.25">
      <c r="A296" s="28">
        <v>14</v>
      </c>
      <c r="B296" s="14">
        <v>43621</v>
      </c>
      <c r="C296" s="15" t="str">
        <f>VLOOKUP(A296,Base!B:C,2,0)</f>
        <v>3.3.90.39.39 - ENCARGOS FINANCEIROS INDEDUTÍVEIS</v>
      </c>
      <c r="D296" s="15" t="str">
        <f>VLOOKUP(A296,Base!B:D,3,0)</f>
        <v>BANCO DO BRASIL</v>
      </c>
      <c r="E296" s="23">
        <f>VLOOKUP($A296,Base!B:E,4,0)</f>
        <v>191</v>
      </c>
      <c r="F296" s="24" t="str">
        <f>VLOOKUP($A296,Base!B:F,5,0)</f>
        <v>AVISO DE DÉBITO</v>
      </c>
      <c r="G296" s="23"/>
      <c r="H296" s="17" t="s">
        <v>210</v>
      </c>
      <c r="I296" s="19"/>
      <c r="J296" s="20">
        <v>10.18</v>
      </c>
      <c r="K296" s="21">
        <f t="shared" si="4"/>
        <v>-8481.2500000000946</v>
      </c>
    </row>
    <row r="297" spans="1:11" ht="12" customHeight="1" x14ac:dyDescent="0.25">
      <c r="A297" s="28">
        <v>14</v>
      </c>
      <c r="B297" s="14">
        <v>43621</v>
      </c>
      <c r="C297" s="15" t="str">
        <f>VLOOKUP(A297,Base!B:C,2,0)</f>
        <v>3.3.90.39.39 - ENCARGOS FINANCEIROS INDEDUTÍVEIS</v>
      </c>
      <c r="D297" s="15" t="str">
        <f>VLOOKUP(A297,Base!B:D,3,0)</f>
        <v>BANCO DO BRASIL</v>
      </c>
      <c r="E297" s="23">
        <f>VLOOKUP($A297,Base!B:E,4,0)</f>
        <v>191</v>
      </c>
      <c r="F297" s="24" t="str">
        <f>VLOOKUP($A297,Base!B:F,5,0)</f>
        <v>AVISO DE DÉBITO</v>
      </c>
      <c r="G297" s="23"/>
      <c r="H297" s="17" t="s">
        <v>210</v>
      </c>
      <c r="I297" s="19"/>
      <c r="J297" s="20">
        <v>10.18</v>
      </c>
      <c r="K297" s="21">
        <f t="shared" si="4"/>
        <v>-8491.4300000000949</v>
      </c>
    </row>
    <row r="298" spans="1:11" ht="12" customHeight="1" x14ac:dyDescent="0.25">
      <c r="A298" s="28">
        <v>14</v>
      </c>
      <c r="B298" s="14">
        <v>43621</v>
      </c>
      <c r="C298" s="15" t="str">
        <f>VLOOKUP(A298,Base!B:C,2,0)</f>
        <v>3.3.90.39.39 - ENCARGOS FINANCEIROS INDEDUTÍVEIS</v>
      </c>
      <c r="D298" s="15" t="str">
        <f>VLOOKUP(A298,Base!B:D,3,0)</f>
        <v>BANCO DO BRASIL</v>
      </c>
      <c r="E298" s="23">
        <f>VLOOKUP($A298,Base!B:E,4,0)</f>
        <v>191</v>
      </c>
      <c r="F298" s="24" t="str">
        <f>VLOOKUP($A298,Base!B:F,5,0)</f>
        <v>AVISO DE DÉBITO</v>
      </c>
      <c r="G298" s="23"/>
      <c r="H298" s="17" t="s">
        <v>210</v>
      </c>
      <c r="I298" s="19"/>
      <c r="J298" s="20">
        <v>10.18</v>
      </c>
      <c r="K298" s="21">
        <f t="shared" si="4"/>
        <v>-8501.6100000000952</v>
      </c>
    </row>
    <row r="299" spans="1:11" ht="12" customHeight="1" x14ac:dyDescent="0.25">
      <c r="A299" s="28">
        <v>5</v>
      </c>
      <c r="B299" s="14">
        <v>43621</v>
      </c>
      <c r="C299" s="15" t="str">
        <f>VLOOKUP(A299,Base!B:C,2,0)</f>
        <v>RESGATE APLICAÇÃO</v>
      </c>
      <c r="D299" s="15" t="str">
        <f>VLOOKUP(A299,Base!B:D,3,0)</f>
        <v>PALCOPARANÁ</v>
      </c>
      <c r="E299" s="23" t="str">
        <f>VLOOKUP($A299,Base!B:E,4,0)</f>
        <v>25.298.788/0001-95</v>
      </c>
      <c r="F299" s="24">
        <f>VLOOKUP($A299,Base!B:F,5,0)</f>
        <v>0</v>
      </c>
      <c r="G299" s="23"/>
      <c r="H299" s="17" t="str">
        <f>VLOOKUP($A299,Base!B1:H47,7,0)</f>
        <v>RESGATE APLICAÇÃO</v>
      </c>
      <c r="I299" s="19">
        <v>9000</v>
      </c>
      <c r="J299" s="20"/>
      <c r="K299" s="21">
        <f t="shared" si="4"/>
        <v>498.38999999990483</v>
      </c>
    </row>
    <row r="300" spans="1:11" ht="12" customHeight="1" x14ac:dyDescent="0.25">
      <c r="A300" s="28">
        <v>5</v>
      </c>
      <c r="B300" s="14">
        <v>43621</v>
      </c>
      <c r="C300" s="15" t="str">
        <f>VLOOKUP(A300,Base!B:C,2,0)</f>
        <v>RESGATE APLICAÇÃO</v>
      </c>
      <c r="D300" s="15" t="str">
        <f>VLOOKUP(A300,Base!B:D,3,0)</f>
        <v>PALCOPARANÁ</v>
      </c>
      <c r="E300" s="23" t="str">
        <f>VLOOKUP($A300,Base!B:E,4,0)</f>
        <v>25.298.788/0001-95</v>
      </c>
      <c r="F300" s="24">
        <f>VLOOKUP($A300,Base!B:F,5,0)</f>
        <v>0</v>
      </c>
      <c r="G300" s="23"/>
      <c r="H300" s="17" t="str">
        <f>VLOOKUP($A300,Base!B2:H48,7,0)</f>
        <v>RESGATE APLICAÇÃO</v>
      </c>
      <c r="I300" s="19">
        <v>39.6</v>
      </c>
      <c r="J300" s="20"/>
      <c r="K300" s="21">
        <f t="shared" si="4"/>
        <v>537.98999999990485</v>
      </c>
    </row>
    <row r="301" spans="1:11" ht="12" customHeight="1" x14ac:dyDescent="0.25">
      <c r="A301" s="28">
        <v>31</v>
      </c>
      <c r="B301" s="14">
        <v>43622</v>
      </c>
      <c r="C301" s="15" t="str">
        <f>VLOOKUP(A301,Base!B:C,2,0)</f>
        <v>3.3.90.39.04 - DIREITOS AUTORAIS</v>
      </c>
      <c r="D301" s="15" t="s">
        <v>57</v>
      </c>
      <c r="E301" s="23" t="s">
        <v>58</v>
      </c>
      <c r="F301" s="24" t="str">
        <f>VLOOKUP($A301,Base!B:F,5,0)</f>
        <v>RECIBO</v>
      </c>
      <c r="G301" s="23"/>
      <c r="H301" s="17" t="s">
        <v>211</v>
      </c>
      <c r="I301" s="19"/>
      <c r="J301" s="20">
        <v>69</v>
      </c>
      <c r="K301" s="21">
        <f t="shared" si="4"/>
        <v>468.98999999990485</v>
      </c>
    </row>
    <row r="302" spans="1:11" ht="12" customHeight="1" x14ac:dyDescent="0.25">
      <c r="A302" s="28">
        <v>30</v>
      </c>
      <c r="B302" s="14">
        <v>43622</v>
      </c>
      <c r="C302" s="15" t="str">
        <f>VLOOKUP(A302,Base!B:C,2,0)</f>
        <v>3.3.90.14.03 - AJUDA DE CUSTO PARA VIAGEM</v>
      </c>
      <c r="D302" s="15" t="str">
        <f>VLOOKUP(A302,Base!B:D,3,0)</f>
        <v>COLABORADORES DIVERSOS</v>
      </c>
      <c r="E302" s="23">
        <f>VLOOKUP($A302,Base!B:E,4,0)</f>
        <v>0</v>
      </c>
      <c r="F302" s="24" t="str">
        <f>VLOOKUP($A302,Base!B:F,5,0)</f>
        <v>RECIBO</v>
      </c>
      <c r="G302" s="23"/>
      <c r="H302" s="17" t="s">
        <v>211</v>
      </c>
      <c r="I302" s="19"/>
      <c r="J302" s="20">
        <v>1173</v>
      </c>
      <c r="K302" s="21">
        <f t="shared" si="4"/>
        <v>-704.01000000009515</v>
      </c>
    </row>
    <row r="303" spans="1:11" ht="12" customHeight="1" x14ac:dyDescent="0.25">
      <c r="A303" s="28">
        <v>31</v>
      </c>
      <c r="B303" s="14">
        <v>43622</v>
      </c>
      <c r="C303" s="15" t="str">
        <f>VLOOKUP(A303,Base!B:C,2,0)</f>
        <v>3.3.90.39.04 - DIREITOS AUTORAIS</v>
      </c>
      <c r="D303" s="15" t="s">
        <v>60</v>
      </c>
      <c r="E303" s="23" t="s">
        <v>61</v>
      </c>
      <c r="F303" s="24" t="str">
        <f>VLOOKUP($A303,Base!B:F,5,0)</f>
        <v>RECIBO</v>
      </c>
      <c r="G303" s="23"/>
      <c r="H303" s="17" t="s">
        <v>211</v>
      </c>
      <c r="I303" s="19"/>
      <c r="J303" s="20">
        <v>69</v>
      </c>
      <c r="K303" s="21">
        <f t="shared" si="4"/>
        <v>-773.01000000009515</v>
      </c>
    </row>
    <row r="304" spans="1:11" ht="12" customHeight="1" x14ac:dyDescent="0.25">
      <c r="A304" s="28">
        <v>34</v>
      </c>
      <c r="B304" s="14">
        <v>43622</v>
      </c>
      <c r="C304" s="15" t="str">
        <f>VLOOKUP(A304,Base!B:C,2,0)</f>
        <v>3.3.90.33.02 - PASSAGENS ÁEREAS</v>
      </c>
      <c r="D304" s="25" t="s">
        <v>212</v>
      </c>
      <c r="E304" s="26" t="s">
        <v>213</v>
      </c>
      <c r="F304" s="24" t="str">
        <f>VLOOKUP($A304,Base!B:F,5,0)</f>
        <v>NFS-e</v>
      </c>
      <c r="G304" s="23">
        <v>24999</v>
      </c>
      <c r="H304" s="17" t="s">
        <v>214</v>
      </c>
      <c r="I304" s="19"/>
      <c r="J304" s="20">
        <v>10826.2</v>
      </c>
      <c r="K304" s="21">
        <f t="shared" si="4"/>
        <v>-11599.210000000096</v>
      </c>
    </row>
    <row r="305" spans="1:11" ht="12" customHeight="1" x14ac:dyDescent="0.25">
      <c r="A305" s="28">
        <v>5</v>
      </c>
      <c r="B305" s="14">
        <v>43622</v>
      </c>
      <c r="C305" s="15" t="str">
        <f>VLOOKUP(A305,Base!B:C,2,0)</f>
        <v>RESGATE APLICAÇÃO</v>
      </c>
      <c r="D305" s="15" t="str">
        <f>VLOOKUP(A305,Base!B:D,3,0)</f>
        <v>PALCOPARANÁ</v>
      </c>
      <c r="E305" s="23" t="str">
        <f>VLOOKUP($A305,Base!B:E,4,0)</f>
        <v>25.298.788/0001-95</v>
      </c>
      <c r="F305" s="24">
        <f>VLOOKUP($A305,Base!B:F,5,0)</f>
        <v>0</v>
      </c>
      <c r="G305" s="23"/>
      <c r="H305" s="17" t="s">
        <v>13</v>
      </c>
      <c r="I305" s="19">
        <v>12000</v>
      </c>
      <c r="J305" s="20"/>
      <c r="K305" s="21">
        <f t="shared" si="4"/>
        <v>400.78999999990447</v>
      </c>
    </row>
    <row r="306" spans="1:11" ht="12" customHeight="1" x14ac:dyDescent="0.25">
      <c r="A306" s="28">
        <v>5</v>
      </c>
      <c r="B306" s="14">
        <v>43622</v>
      </c>
      <c r="C306" s="15" t="str">
        <f>VLOOKUP(A306,Base!B:C,2,0)</f>
        <v>RESGATE APLICAÇÃO</v>
      </c>
      <c r="D306" s="15" t="str">
        <f>VLOOKUP(A306,Base!B:D,3,0)</f>
        <v>PALCOPARANÁ</v>
      </c>
      <c r="E306" s="23" t="str">
        <f>VLOOKUP($A306,Base!B:E,4,0)</f>
        <v>25.298.788/0001-95</v>
      </c>
      <c r="F306" s="24">
        <f>VLOOKUP($A306,Base!B:F,5,0)</f>
        <v>0</v>
      </c>
      <c r="G306" s="23"/>
      <c r="H306" s="17" t="s">
        <v>13</v>
      </c>
      <c r="I306" s="19">
        <v>55.44</v>
      </c>
      <c r="J306" s="20"/>
      <c r="K306" s="21">
        <f t="shared" si="4"/>
        <v>456.22999999990446</v>
      </c>
    </row>
    <row r="307" spans="1:11" ht="12" customHeight="1" x14ac:dyDescent="0.25">
      <c r="A307" s="28">
        <v>10</v>
      </c>
      <c r="B307" s="14">
        <v>43623</v>
      </c>
      <c r="C307" s="15" t="str">
        <f>VLOOKUP(A307,Base!B:C,2,0)</f>
        <v>3.1.90.13.02 - FGTS</v>
      </c>
      <c r="D307" s="15" t="str">
        <f>VLOOKUP(A307,Base!B:D,3,0)</f>
        <v>CAIXA ECONÔMICA FEDERAL</v>
      </c>
      <c r="E307" s="23">
        <f>VLOOKUP($A307,Base!B:E,4,0)</f>
        <v>0</v>
      </c>
      <c r="F307" s="24" t="str">
        <f>VLOOKUP($A307,Base!B:F,5,0)</f>
        <v>GUIA GRRF</v>
      </c>
      <c r="G307" s="23"/>
      <c r="H307" s="17" t="s">
        <v>215</v>
      </c>
      <c r="I307" s="19"/>
      <c r="J307" s="20">
        <v>20972.799999999999</v>
      </c>
      <c r="K307" s="21">
        <f t="shared" si="4"/>
        <v>-20516.570000000094</v>
      </c>
    </row>
    <row r="308" spans="1:11" ht="12" customHeight="1" x14ac:dyDescent="0.25">
      <c r="A308" s="28">
        <v>5</v>
      </c>
      <c r="B308" s="14">
        <v>43623</v>
      </c>
      <c r="C308" s="15" t="str">
        <f>VLOOKUP(A308,Base!B:C,2,0)</f>
        <v>RESGATE APLICAÇÃO</v>
      </c>
      <c r="D308" s="15" t="str">
        <f>VLOOKUP(A308,Base!B:D,3,0)</f>
        <v>PALCOPARANÁ</v>
      </c>
      <c r="E308" s="23" t="str">
        <f>VLOOKUP($A308,Base!B:E,4,0)</f>
        <v>25.298.788/0001-95</v>
      </c>
      <c r="F308" s="24">
        <f>VLOOKUP($A308,Base!B:F,5,0)</f>
        <v>0</v>
      </c>
      <c r="G308" s="23"/>
      <c r="H308" s="17" t="s">
        <v>13</v>
      </c>
      <c r="I308" s="19">
        <v>21000</v>
      </c>
      <c r="J308" s="20"/>
      <c r="K308" s="21">
        <f t="shared" si="4"/>
        <v>483.4299999999057</v>
      </c>
    </row>
    <row r="309" spans="1:11" ht="12" customHeight="1" x14ac:dyDescent="0.25">
      <c r="A309" s="28">
        <v>5</v>
      </c>
      <c r="B309" s="14">
        <v>43623</v>
      </c>
      <c r="C309" s="15" t="str">
        <f>VLOOKUP(A309,Base!B:C,2,0)</f>
        <v>RESGATE APLICAÇÃO</v>
      </c>
      <c r="D309" s="15" t="str">
        <f>VLOOKUP(A309,Base!B:D,3,0)</f>
        <v>PALCOPARANÁ</v>
      </c>
      <c r="E309" s="23" t="str">
        <f>VLOOKUP($A309,Base!B:E,4,0)</f>
        <v>25.298.788/0001-95</v>
      </c>
      <c r="F309" s="24">
        <f>VLOOKUP($A309,Base!B:F,5,0)</f>
        <v>0</v>
      </c>
      <c r="G309" s="23"/>
      <c r="H309" s="17" t="s">
        <v>13</v>
      </c>
      <c r="I309" s="19">
        <v>102.06</v>
      </c>
      <c r="J309" s="20"/>
      <c r="K309" s="21">
        <f t="shared" si="4"/>
        <v>585.48999999990565</v>
      </c>
    </row>
    <row r="310" spans="1:11" ht="12" customHeight="1" x14ac:dyDescent="0.25">
      <c r="A310" s="28">
        <v>31</v>
      </c>
      <c r="B310" s="14">
        <v>43626</v>
      </c>
      <c r="C310" s="15" t="str">
        <f>VLOOKUP(A310,Base!B:C,2,0)</f>
        <v>3.3.90.39.04 - DIREITOS AUTORAIS</v>
      </c>
      <c r="D310" s="15" t="s">
        <v>36</v>
      </c>
      <c r="E310" s="23" t="s">
        <v>37</v>
      </c>
      <c r="F310" s="24" t="str">
        <f>VLOOKUP($A310,Base!B:F,5,0)</f>
        <v>RECIBO</v>
      </c>
      <c r="G310" s="23"/>
      <c r="H310" s="17" t="s">
        <v>211</v>
      </c>
      <c r="I310" s="19"/>
      <c r="J310" s="20">
        <v>69</v>
      </c>
      <c r="K310" s="21">
        <f t="shared" si="4"/>
        <v>516.48999999990565</v>
      </c>
    </row>
    <row r="311" spans="1:11" ht="12" customHeight="1" x14ac:dyDescent="0.25">
      <c r="A311" s="28">
        <v>31</v>
      </c>
      <c r="B311" s="14">
        <v>43626</v>
      </c>
      <c r="C311" s="15" t="str">
        <f>VLOOKUP(A311,Base!B:C,2,0)</f>
        <v>3.3.90.39.04 - DIREITOS AUTORAIS</v>
      </c>
      <c r="D311" s="15" t="s">
        <v>33</v>
      </c>
      <c r="E311" s="23" t="s">
        <v>34</v>
      </c>
      <c r="F311" s="24" t="str">
        <f>VLOOKUP($A311,Base!B:F,5,0)</f>
        <v>RECIBO</v>
      </c>
      <c r="G311" s="23"/>
      <c r="H311" s="17" t="s">
        <v>211</v>
      </c>
      <c r="I311" s="19"/>
      <c r="J311" s="20">
        <v>69</v>
      </c>
      <c r="K311" s="21">
        <f t="shared" si="4"/>
        <v>447.48999999990565</v>
      </c>
    </row>
    <row r="312" spans="1:11" ht="12" customHeight="1" x14ac:dyDescent="0.25">
      <c r="A312" s="28">
        <v>14</v>
      </c>
      <c r="B312" s="14">
        <v>43626</v>
      </c>
      <c r="C312" s="15" t="str">
        <f>VLOOKUP(A312,Base!B:C,2,0)</f>
        <v>3.3.90.39.39 - ENCARGOS FINANCEIROS INDEDUTÍVEIS</v>
      </c>
      <c r="D312" s="15" t="str">
        <f>VLOOKUP(A312,Base!B:D,3,0)</f>
        <v>BANCO DO BRASIL</v>
      </c>
      <c r="E312" s="23">
        <f>VLOOKUP($A312,Base!B:E,4,0)</f>
        <v>191</v>
      </c>
      <c r="F312" s="24" t="str">
        <f>VLOOKUP($A312,Base!B:F,5,0)</f>
        <v>AVISO DE DÉBITO</v>
      </c>
      <c r="G312" s="23"/>
      <c r="H312" s="17" t="s">
        <v>216</v>
      </c>
      <c r="I312" s="19"/>
      <c r="J312" s="20">
        <v>10.18</v>
      </c>
      <c r="K312" s="21">
        <f t="shared" si="4"/>
        <v>437.30999999990564</v>
      </c>
    </row>
    <row r="313" spans="1:11" ht="12" customHeight="1" x14ac:dyDescent="0.25">
      <c r="A313" s="28">
        <v>14</v>
      </c>
      <c r="B313" s="14">
        <v>43626</v>
      </c>
      <c r="C313" s="15" t="str">
        <f>VLOOKUP(A313,Base!B:C,2,0)</f>
        <v>3.3.90.39.39 - ENCARGOS FINANCEIROS INDEDUTÍVEIS</v>
      </c>
      <c r="D313" s="15" t="str">
        <f>VLOOKUP(A313,Base!B:D,3,0)</f>
        <v>BANCO DO BRASIL</v>
      </c>
      <c r="E313" s="23">
        <f>VLOOKUP($A313,Base!B:E,4,0)</f>
        <v>191</v>
      </c>
      <c r="F313" s="24" t="str">
        <f>VLOOKUP($A313,Base!B:F,5,0)</f>
        <v>AVISO DE DÉBITO</v>
      </c>
      <c r="G313" s="23"/>
      <c r="H313" s="17" t="s">
        <v>216</v>
      </c>
      <c r="I313" s="19"/>
      <c r="J313" s="20">
        <v>10.18</v>
      </c>
      <c r="K313" s="21">
        <f t="shared" si="4"/>
        <v>427.12999999990564</v>
      </c>
    </row>
    <row r="314" spans="1:11" ht="12" customHeight="1" x14ac:dyDescent="0.25">
      <c r="A314" s="28">
        <v>30</v>
      </c>
      <c r="B314" s="14">
        <v>43628</v>
      </c>
      <c r="C314" s="15" t="str">
        <f>VLOOKUP(A314,Base!B:C,2,0)</f>
        <v>3.3.90.14.03 - AJUDA DE CUSTO PARA VIAGEM</v>
      </c>
      <c r="D314" s="15" t="str">
        <f>VLOOKUP(A314,Base!B:D,3,0)</f>
        <v>COLABORADORES DIVERSOS</v>
      </c>
      <c r="E314" s="23">
        <f>VLOOKUP($A314,Base!B:E,4,0)</f>
        <v>0</v>
      </c>
      <c r="F314" s="24" t="str">
        <f>VLOOKUP($A314,Base!B:F,5,0)</f>
        <v>RECIBO</v>
      </c>
      <c r="G314" s="23"/>
      <c r="H314" s="17" t="s">
        <v>217</v>
      </c>
      <c r="I314" s="19"/>
      <c r="J314" s="20">
        <v>1472</v>
      </c>
      <c r="K314" s="21">
        <f t="shared" si="4"/>
        <v>-1044.8700000000945</v>
      </c>
    </row>
    <row r="315" spans="1:11" ht="12" customHeight="1" x14ac:dyDescent="0.25">
      <c r="A315" s="28">
        <v>31</v>
      </c>
      <c r="B315" s="14">
        <v>43628</v>
      </c>
      <c r="C315" s="15" t="str">
        <f>VLOOKUP(A315,Base!B:C,2,0)</f>
        <v>3.3.90.39.04 - DIREITOS AUTORAIS</v>
      </c>
      <c r="D315" s="15" t="s">
        <v>57</v>
      </c>
      <c r="E315" s="23" t="s">
        <v>58</v>
      </c>
      <c r="F315" s="24" t="str">
        <f>VLOOKUP($A315,Base!B:F,5,0)</f>
        <v>RECIBO</v>
      </c>
      <c r="G315" s="23"/>
      <c r="H315" s="17" t="s">
        <v>217</v>
      </c>
      <c r="I315" s="19"/>
      <c r="J315" s="20">
        <v>92</v>
      </c>
      <c r="K315" s="21">
        <f t="shared" si="4"/>
        <v>-1136.8700000000945</v>
      </c>
    </row>
    <row r="316" spans="1:11" ht="12" customHeight="1" x14ac:dyDescent="0.25">
      <c r="A316" s="28">
        <v>31</v>
      </c>
      <c r="B316" s="14">
        <v>43628</v>
      </c>
      <c r="C316" s="15" t="str">
        <f>VLOOKUP(A316,Base!B:C,2,0)</f>
        <v>3.3.90.39.04 - DIREITOS AUTORAIS</v>
      </c>
      <c r="D316" s="15" t="s">
        <v>68</v>
      </c>
      <c r="E316" s="23" t="s">
        <v>69</v>
      </c>
      <c r="F316" s="24" t="str">
        <f>VLOOKUP($A316,Base!B:F,5,0)</f>
        <v>RECIBO</v>
      </c>
      <c r="G316" s="23"/>
      <c r="H316" s="17" t="s">
        <v>218</v>
      </c>
      <c r="I316" s="19"/>
      <c r="J316" s="20">
        <v>69</v>
      </c>
      <c r="K316" s="21">
        <f t="shared" si="4"/>
        <v>-1205.8700000000945</v>
      </c>
    </row>
    <row r="317" spans="1:11" ht="12" customHeight="1" x14ac:dyDescent="0.25">
      <c r="A317" s="28">
        <v>31</v>
      </c>
      <c r="B317" s="14">
        <v>43628</v>
      </c>
      <c r="C317" s="15" t="str">
        <f>VLOOKUP(A317,Base!B:C,2,0)</f>
        <v>3.3.90.39.04 - DIREITOS AUTORAIS</v>
      </c>
      <c r="D317" s="15" t="s">
        <v>68</v>
      </c>
      <c r="E317" s="23" t="s">
        <v>69</v>
      </c>
      <c r="F317" s="24" t="str">
        <f>VLOOKUP($A317,Base!B:F,5,0)</f>
        <v>RECIBO</v>
      </c>
      <c r="G317" s="23"/>
      <c r="H317" s="17" t="s">
        <v>219</v>
      </c>
      <c r="I317" s="19"/>
      <c r="J317" s="20">
        <v>69</v>
      </c>
      <c r="K317" s="21">
        <f t="shared" si="4"/>
        <v>-1274.8700000000945</v>
      </c>
    </row>
    <row r="318" spans="1:11" ht="12" customHeight="1" x14ac:dyDescent="0.25">
      <c r="A318" s="28">
        <v>13</v>
      </c>
      <c r="B318" s="14">
        <v>43628</v>
      </c>
      <c r="C318" s="15" t="str">
        <f>VLOOKUP(A318,Base!B:C,2,0)</f>
        <v>3.1.90.46.03 - AUXÍLIO-ALIMENTAÇÃO</v>
      </c>
      <c r="D318" s="15" t="s">
        <v>68</v>
      </c>
      <c r="E318" s="23" t="s">
        <v>69</v>
      </c>
      <c r="F318" s="24" t="str">
        <f>VLOOKUP($A318,Base!B:F,5,0)</f>
        <v>RECIBO</v>
      </c>
      <c r="G318" s="23"/>
      <c r="H318" s="17" t="s">
        <v>220</v>
      </c>
      <c r="I318" s="19"/>
      <c r="J318" s="20">
        <v>64</v>
      </c>
      <c r="K318" s="21">
        <f t="shared" si="4"/>
        <v>-1338.8700000000945</v>
      </c>
    </row>
    <row r="319" spans="1:11" ht="12" customHeight="1" x14ac:dyDescent="0.25">
      <c r="A319" s="28">
        <v>5</v>
      </c>
      <c r="B319" s="14">
        <v>43628</v>
      </c>
      <c r="C319" s="15" t="str">
        <f>VLOOKUP(A319,Base!B:C,2,0)</f>
        <v>RESGATE APLICAÇÃO</v>
      </c>
      <c r="D319" s="15" t="str">
        <f>VLOOKUP(A319,Base!B:D,3,0)</f>
        <v>PALCOPARANÁ</v>
      </c>
      <c r="E319" s="23" t="str">
        <f>VLOOKUP($A319,Base!B:E,4,0)</f>
        <v>25.298.788/0001-95</v>
      </c>
      <c r="F319" s="24">
        <f>VLOOKUP($A319,Base!B:F,5,0)</f>
        <v>0</v>
      </c>
      <c r="G319" s="23"/>
      <c r="H319" s="17" t="s">
        <v>13</v>
      </c>
      <c r="I319" s="19">
        <v>1500</v>
      </c>
      <c r="J319" s="20"/>
      <c r="K319" s="21">
        <f t="shared" si="4"/>
        <v>161.12999999990552</v>
      </c>
    </row>
    <row r="320" spans="1:11" ht="12" customHeight="1" x14ac:dyDescent="0.25">
      <c r="A320" s="28">
        <v>5</v>
      </c>
      <c r="B320" s="14">
        <v>43628</v>
      </c>
      <c r="C320" s="15" t="str">
        <f>VLOOKUP(A320,Base!B:C,2,0)</f>
        <v>RESGATE APLICAÇÃO</v>
      </c>
      <c r="D320" s="15" t="str">
        <f>VLOOKUP(A320,Base!B:D,3,0)</f>
        <v>PALCOPARANÁ</v>
      </c>
      <c r="E320" s="23" t="str">
        <f>VLOOKUP($A320,Base!B:E,4,0)</f>
        <v>25.298.788/0001-95</v>
      </c>
      <c r="F320" s="24">
        <f>VLOOKUP($A320,Base!B:F,5,0)</f>
        <v>0</v>
      </c>
      <c r="G320" s="23"/>
      <c r="H320" s="17" t="s">
        <v>13</v>
      </c>
      <c r="I320" s="19">
        <v>8.34</v>
      </c>
      <c r="J320" s="20"/>
      <c r="K320" s="21">
        <f t="shared" si="4"/>
        <v>169.46999999990553</v>
      </c>
    </row>
    <row r="321" spans="1:11" ht="12" customHeight="1" x14ac:dyDescent="0.25">
      <c r="A321" s="28">
        <v>31</v>
      </c>
      <c r="B321" s="14">
        <v>43630</v>
      </c>
      <c r="C321" s="15" t="str">
        <f>VLOOKUP(A321,Base!B:C,2,0)</f>
        <v>3.3.90.39.04 - DIREITOS AUTORAIS</v>
      </c>
      <c r="D321" s="15" t="s">
        <v>221</v>
      </c>
      <c r="E321" s="23" t="s">
        <v>222</v>
      </c>
      <c r="F321" s="24" t="str">
        <f>VLOOKUP($A321,Base!B:F,5,0)</f>
        <v>RECIBO</v>
      </c>
      <c r="G321" s="23"/>
      <c r="H321" s="17" t="s">
        <v>217</v>
      </c>
      <c r="I321" s="19"/>
      <c r="J321" s="20">
        <v>92</v>
      </c>
      <c r="K321" s="21">
        <f t="shared" si="4"/>
        <v>77.469999999905525</v>
      </c>
    </row>
    <row r="322" spans="1:11" ht="12" customHeight="1" x14ac:dyDescent="0.25">
      <c r="A322" s="28">
        <v>31</v>
      </c>
      <c r="B322" s="14">
        <v>43634</v>
      </c>
      <c r="C322" s="15" t="str">
        <f>VLOOKUP(A322,Base!B:C,2,0)</f>
        <v>3.3.90.39.04 - DIREITOS AUTORAIS</v>
      </c>
      <c r="D322" s="15" t="s">
        <v>68</v>
      </c>
      <c r="E322" s="23" t="s">
        <v>69</v>
      </c>
      <c r="F322" s="24" t="str">
        <f>VLOOKUP($A322,Base!B:F,5,0)</f>
        <v>RECIBO</v>
      </c>
      <c r="G322" s="23"/>
      <c r="H322" s="17" t="s">
        <v>223</v>
      </c>
      <c r="I322" s="19"/>
      <c r="J322" s="20">
        <v>92</v>
      </c>
      <c r="K322" s="21">
        <f t="shared" si="4"/>
        <v>-14.530000000094475</v>
      </c>
    </row>
    <row r="323" spans="1:11" ht="12" customHeight="1" x14ac:dyDescent="0.25">
      <c r="A323" s="28">
        <v>5</v>
      </c>
      <c r="B323" s="14">
        <v>43634</v>
      </c>
      <c r="C323" s="15" t="str">
        <f>VLOOKUP(A323,Base!B:C,2,0)</f>
        <v>RESGATE APLICAÇÃO</v>
      </c>
      <c r="D323" s="15" t="str">
        <f>VLOOKUP(A323,Base!B:D,3,0)</f>
        <v>PALCOPARANÁ</v>
      </c>
      <c r="E323" s="23" t="str">
        <f>VLOOKUP($A323,Base!B:E,4,0)</f>
        <v>25.298.788/0001-95</v>
      </c>
      <c r="F323" s="24">
        <f>VLOOKUP($A323,Base!B:F,5,0)</f>
        <v>0</v>
      </c>
      <c r="G323" s="23"/>
      <c r="H323" s="17" t="s">
        <v>13</v>
      </c>
      <c r="I323" s="19">
        <v>500</v>
      </c>
      <c r="J323" s="20"/>
      <c r="K323" s="21">
        <f t="shared" ref="K323:K386" si="5">K322+I323-J323</f>
        <v>485.46999999990555</v>
      </c>
    </row>
    <row r="324" spans="1:11" ht="12" customHeight="1" x14ac:dyDescent="0.25">
      <c r="A324" s="28">
        <v>5</v>
      </c>
      <c r="B324" s="14">
        <v>43634</v>
      </c>
      <c r="C324" s="15" t="str">
        <f>VLOOKUP(A324,Base!B:C,2,0)</f>
        <v>RESGATE APLICAÇÃO</v>
      </c>
      <c r="D324" s="15" t="str">
        <f>VLOOKUP(A324,Base!B:D,3,0)</f>
        <v>PALCOPARANÁ</v>
      </c>
      <c r="E324" s="23" t="str">
        <f>VLOOKUP($A324,Base!B:E,4,0)</f>
        <v>25.298.788/0001-95</v>
      </c>
      <c r="F324" s="24">
        <f>VLOOKUP($A324,Base!B:F,5,0)</f>
        <v>0</v>
      </c>
      <c r="G324" s="23"/>
      <c r="H324" s="17" t="s">
        <v>13</v>
      </c>
      <c r="I324" s="19">
        <v>3.25</v>
      </c>
      <c r="J324" s="20"/>
      <c r="K324" s="21">
        <f t="shared" si="5"/>
        <v>488.71999999990555</v>
      </c>
    </row>
    <row r="325" spans="1:11" ht="12" customHeight="1" x14ac:dyDescent="0.25">
      <c r="A325" s="28">
        <v>9</v>
      </c>
      <c r="B325" s="14">
        <v>43635</v>
      </c>
      <c r="C325" s="15" t="str">
        <f>VLOOKUP(A325,Base!B:C,2,0)</f>
        <v>3.3.90.39.12 - LOCAÇÃO DE MÁQUINAS E EQUIPAMENTOS</v>
      </c>
      <c r="D325" s="15" t="str">
        <f>VLOOKUP(A325,Base!B:D,3,0)</f>
        <v>INTERATIVA SOLUÇÕES EM INFORMATICA LTDA</v>
      </c>
      <c r="E325" s="23" t="str">
        <f>VLOOKUP($A325,Base!B:E,4,0)</f>
        <v>04.192.385/0001-97</v>
      </c>
      <c r="F325" s="24" t="str">
        <f>VLOOKUP($A325,Base!B:F,5,0)</f>
        <v>NFS-e</v>
      </c>
      <c r="G325" s="23">
        <v>6899</v>
      </c>
      <c r="H325" s="17" t="str">
        <f>VLOOKUP($A325,Base!B1:H47,7,0)</f>
        <v>PGTO SERVIÇOS LOCAÇÃO DE IMPRESSORA</v>
      </c>
      <c r="I325" s="19"/>
      <c r="J325" s="20">
        <v>1288.45</v>
      </c>
      <c r="K325" s="21">
        <f t="shared" si="5"/>
        <v>-799.73000000009449</v>
      </c>
    </row>
    <row r="326" spans="1:11" ht="12" customHeight="1" x14ac:dyDescent="0.25">
      <c r="A326" s="28">
        <v>16</v>
      </c>
      <c r="B326" s="14">
        <v>43635</v>
      </c>
      <c r="C326" s="15" t="str">
        <f>VLOOKUP(A326,Base!B:C,2,0)</f>
        <v>3.1.90.13.01- CONTRIBUIÇÕES PREVIDENCIÁRIAS - INSS</v>
      </c>
      <c r="D326" s="15" t="str">
        <f>VLOOKUP(A326,Base!B:D,3,0)</f>
        <v>FUNDO DO REGIME GERAL DE PREVIDENCIA SOCIAL</v>
      </c>
      <c r="E326" s="23" t="str">
        <f>VLOOKUP($A326,Base!B:E,4,0)</f>
        <v>16.727.230/0001-97</v>
      </c>
      <c r="F326" s="24" t="str">
        <f>VLOOKUP($A326,Base!B:F,5,0)</f>
        <v>GPS</v>
      </c>
      <c r="G326" s="23"/>
      <c r="H326" s="17" t="s">
        <v>224</v>
      </c>
      <c r="I326" s="19"/>
      <c r="J326" s="20">
        <v>98133.92</v>
      </c>
      <c r="K326" s="21">
        <f t="shared" si="5"/>
        <v>-98933.650000000096</v>
      </c>
    </row>
    <row r="327" spans="1:11" ht="12" customHeight="1" x14ac:dyDescent="0.25">
      <c r="A327" s="28">
        <v>15</v>
      </c>
      <c r="B327" s="14">
        <v>43635</v>
      </c>
      <c r="C327" s="15" t="str">
        <f>VLOOKUP(A327,Base!B:C,2,0)</f>
        <v>3.1.90.11.61 - VENCIMENTOS E SALÁRIOS</v>
      </c>
      <c r="D327" s="15" t="str">
        <f>VLOOKUP(A327,Base!B:D,3,0)</f>
        <v>MINISTÉRIO DA FAZENDA - UNIÃO</v>
      </c>
      <c r="E327" s="23">
        <f>VLOOKUP($A327,Base!B:E,4,0)</f>
        <v>0</v>
      </c>
      <c r="F327" s="24" t="str">
        <f>VLOOKUP($A327,Base!B:F,5,0)</f>
        <v>DARF IRRF</v>
      </c>
      <c r="G327" s="23"/>
      <c r="H327" s="17" t="s">
        <v>225</v>
      </c>
      <c r="I327" s="19"/>
      <c r="J327" s="20">
        <v>18611.62</v>
      </c>
      <c r="K327" s="21">
        <f t="shared" si="5"/>
        <v>-117545.27000000009</v>
      </c>
    </row>
    <row r="328" spans="1:11" ht="12" customHeight="1" x14ac:dyDescent="0.25">
      <c r="A328" s="28">
        <v>15</v>
      </c>
      <c r="B328" s="14">
        <v>43635</v>
      </c>
      <c r="C328" s="15" t="str">
        <f>VLOOKUP(A328,Base!B:C,2,0)</f>
        <v>3.1.90.11.61 - VENCIMENTOS E SALÁRIOS</v>
      </c>
      <c r="D328" s="15" t="str">
        <f>VLOOKUP(A328,Base!B:D,3,0)</f>
        <v>MINISTÉRIO DA FAZENDA - UNIÃO</v>
      </c>
      <c r="E328" s="23">
        <f>VLOOKUP($A328,Base!B:E,4,0)</f>
        <v>0</v>
      </c>
      <c r="F328" s="24" t="str">
        <f>VLOOKUP($A328,Base!B:F,5,0)</f>
        <v>DARF IRRF</v>
      </c>
      <c r="G328" s="23"/>
      <c r="H328" s="17" t="s">
        <v>226</v>
      </c>
      <c r="I328" s="19"/>
      <c r="J328" s="20">
        <v>62.79</v>
      </c>
      <c r="K328" s="21">
        <f t="shared" si="5"/>
        <v>-117608.06000000008</v>
      </c>
    </row>
    <row r="329" spans="1:11" ht="12" customHeight="1" x14ac:dyDescent="0.25">
      <c r="A329" s="28">
        <v>5</v>
      </c>
      <c r="B329" s="14">
        <v>43635</v>
      </c>
      <c r="C329" s="15" t="str">
        <f>VLOOKUP(A329,Base!B:C,2,0)</f>
        <v>RESGATE APLICAÇÃO</v>
      </c>
      <c r="D329" s="15" t="str">
        <f>VLOOKUP(A329,Base!B:D,3,0)</f>
        <v>PALCOPARANÁ</v>
      </c>
      <c r="E329" s="23" t="str">
        <f>VLOOKUP($A329,Base!B:E,4,0)</f>
        <v>25.298.788/0001-95</v>
      </c>
      <c r="F329" s="24">
        <f>VLOOKUP($A329,Base!B:F,5,0)</f>
        <v>0</v>
      </c>
      <c r="G329" s="23"/>
      <c r="H329" s="17" t="s">
        <v>13</v>
      </c>
      <c r="I329" s="19">
        <v>118000</v>
      </c>
      <c r="J329" s="20"/>
      <c r="K329" s="21">
        <f t="shared" si="5"/>
        <v>391.93999999991502</v>
      </c>
    </row>
    <row r="330" spans="1:11" ht="12" customHeight="1" x14ac:dyDescent="0.25">
      <c r="A330" s="28">
        <v>5</v>
      </c>
      <c r="B330" s="14">
        <v>43635</v>
      </c>
      <c r="C330" s="15" t="str">
        <f>VLOOKUP(A330,Base!B:C,2,0)</f>
        <v>RESGATE APLICAÇÃO</v>
      </c>
      <c r="D330" s="15" t="str">
        <f>VLOOKUP(A330,Base!B:D,3,0)</f>
        <v>PALCOPARANÁ</v>
      </c>
      <c r="E330" s="23" t="str">
        <f>VLOOKUP($A330,Base!B:E,4,0)</f>
        <v>25.298.788/0001-95</v>
      </c>
      <c r="F330" s="24">
        <f>VLOOKUP($A330,Base!B:F,5,0)</f>
        <v>0</v>
      </c>
      <c r="G330" s="23"/>
      <c r="H330" s="17" t="s">
        <v>13</v>
      </c>
      <c r="I330" s="19">
        <v>792.96</v>
      </c>
      <c r="J330" s="20"/>
      <c r="K330" s="21">
        <f t="shared" si="5"/>
        <v>1184.8999999999151</v>
      </c>
    </row>
    <row r="331" spans="1:11" ht="12" customHeight="1" x14ac:dyDescent="0.25">
      <c r="A331" s="28">
        <v>17</v>
      </c>
      <c r="B331" s="14">
        <v>43640</v>
      </c>
      <c r="C331" s="15" t="str">
        <f>VLOOKUP(A331,Base!B:C,2,0)</f>
        <v>3.3.90.39.05 - SERVIÇOS TÉCNICOS PROFISSIONAIS</v>
      </c>
      <c r="D331" s="15" t="s">
        <v>74</v>
      </c>
      <c r="E331" s="23" t="s">
        <v>75</v>
      </c>
      <c r="F331" s="24" t="str">
        <f>VLOOKUP($A331,Base!B:F,5,0)</f>
        <v>NFS-e</v>
      </c>
      <c r="G331" s="23"/>
      <c r="H331" s="17" t="s">
        <v>77</v>
      </c>
      <c r="I331" s="19"/>
      <c r="J331" s="20">
        <v>5890</v>
      </c>
      <c r="K331" s="21">
        <f t="shared" si="5"/>
        <v>-4705.1000000000849</v>
      </c>
    </row>
    <row r="332" spans="1:11" ht="12" customHeight="1" x14ac:dyDescent="0.25">
      <c r="A332" s="28">
        <v>5</v>
      </c>
      <c r="B332" s="14">
        <v>43640</v>
      </c>
      <c r="C332" s="15" t="str">
        <f>VLOOKUP(A332,Base!B:C,2,0)</f>
        <v>RESGATE APLICAÇÃO</v>
      </c>
      <c r="D332" s="15" t="str">
        <f>VLOOKUP(A332,Base!B:D,3,0)</f>
        <v>PALCOPARANÁ</v>
      </c>
      <c r="E332" s="23" t="str">
        <f>VLOOKUP($A332,Base!B:E,4,0)</f>
        <v>25.298.788/0001-95</v>
      </c>
      <c r="F332" s="24">
        <f>VLOOKUP($A332,Base!B:F,5,0)</f>
        <v>0</v>
      </c>
      <c r="G332" s="23"/>
      <c r="H332" s="17" t="s">
        <v>13</v>
      </c>
      <c r="I332" s="19">
        <v>5000</v>
      </c>
      <c r="J332" s="20"/>
      <c r="K332" s="21">
        <f t="shared" si="5"/>
        <v>294.89999999991505</v>
      </c>
    </row>
    <row r="333" spans="1:11" ht="12" customHeight="1" x14ac:dyDescent="0.25">
      <c r="A333" s="28">
        <v>5</v>
      </c>
      <c r="B333" s="14">
        <v>43640</v>
      </c>
      <c r="C333" s="15" t="str">
        <f>VLOOKUP(A333,Base!B:C,2,0)</f>
        <v>RESGATE APLICAÇÃO</v>
      </c>
      <c r="D333" s="15" t="str">
        <f>VLOOKUP(A333,Base!B:D,3,0)</f>
        <v>PALCOPARANÁ</v>
      </c>
      <c r="E333" s="23" t="str">
        <f>VLOOKUP($A333,Base!B:E,4,0)</f>
        <v>25.298.788/0001-95</v>
      </c>
      <c r="F333" s="24">
        <f>VLOOKUP($A333,Base!B:F,5,0)</f>
        <v>0</v>
      </c>
      <c r="G333" s="23"/>
      <c r="H333" s="17" t="s">
        <v>13</v>
      </c>
      <c r="I333" s="19">
        <v>35.9</v>
      </c>
      <c r="J333" s="20"/>
      <c r="K333" s="21">
        <f t="shared" si="5"/>
        <v>330.79999999991503</v>
      </c>
    </row>
    <row r="334" spans="1:11" ht="12" customHeight="1" x14ac:dyDescent="0.25">
      <c r="A334" s="28">
        <v>20</v>
      </c>
      <c r="B334" s="14">
        <v>43641</v>
      </c>
      <c r="C334" s="15" t="str">
        <f>VLOOKUP(A334,Base!B:C,2,0)</f>
        <v>3.1.90.47.01 - PIS/PASEP</v>
      </c>
      <c r="D334" s="15" t="str">
        <f>VLOOKUP(A334,Base!B:D,3,0)</f>
        <v>MINISTÉRIO DA FAZENDA - UNIÃO</v>
      </c>
      <c r="E334" s="23" t="str">
        <f>VLOOKUP($A334,Base!B:E,4,0)</f>
        <v>25.298.788/0001-95 -8301</v>
      </c>
      <c r="F334" s="24" t="str">
        <f>VLOOKUP($A334,Base!B:F,5,0)</f>
        <v>DARF PIS</v>
      </c>
      <c r="G334" s="23"/>
      <c r="H334" s="17" t="s">
        <v>227</v>
      </c>
      <c r="I334" s="19"/>
      <c r="J334" s="20">
        <v>2627.1</v>
      </c>
      <c r="K334" s="21">
        <f t="shared" si="5"/>
        <v>-2296.3000000000848</v>
      </c>
    </row>
    <row r="335" spans="1:11" ht="12" customHeight="1" x14ac:dyDescent="0.25">
      <c r="A335" s="28">
        <v>5</v>
      </c>
      <c r="B335" s="14">
        <v>43641</v>
      </c>
      <c r="C335" s="15" t="str">
        <f>VLOOKUP(A335,Base!B:C,2,0)</f>
        <v>RESGATE APLICAÇÃO</v>
      </c>
      <c r="D335" s="15" t="str">
        <f>VLOOKUP(A335,Base!B:D,3,0)</f>
        <v>PALCOPARANÁ</v>
      </c>
      <c r="E335" s="23" t="str">
        <f>VLOOKUP($A335,Base!B:E,4,0)</f>
        <v>25.298.788/0001-95</v>
      </c>
      <c r="F335" s="24">
        <f>VLOOKUP($A335,Base!B:F,5,0)</f>
        <v>0</v>
      </c>
      <c r="G335" s="23"/>
      <c r="H335" s="17" t="s">
        <v>13</v>
      </c>
      <c r="I335" s="19">
        <v>2500</v>
      </c>
      <c r="J335" s="20"/>
      <c r="K335" s="21">
        <f t="shared" si="5"/>
        <v>203.69999999991524</v>
      </c>
    </row>
    <row r="336" spans="1:11" ht="12" customHeight="1" x14ac:dyDescent="0.25">
      <c r="A336" s="28">
        <v>5</v>
      </c>
      <c r="B336" s="14">
        <v>43641</v>
      </c>
      <c r="C336" s="15" t="str">
        <f>VLOOKUP(A336,Base!B:C,2,0)</f>
        <v>RESGATE APLICAÇÃO</v>
      </c>
      <c r="D336" s="15" t="str">
        <f>VLOOKUP(A336,Base!B:D,3,0)</f>
        <v>PALCOPARANÁ</v>
      </c>
      <c r="E336" s="23" t="str">
        <f>VLOOKUP($A336,Base!B:E,4,0)</f>
        <v>25.298.788/0001-95</v>
      </c>
      <c r="F336" s="24">
        <f>VLOOKUP($A336,Base!B:F,5,0)</f>
        <v>0</v>
      </c>
      <c r="G336" s="23"/>
      <c r="H336" s="17" t="s">
        <v>13</v>
      </c>
      <c r="I336" s="19">
        <v>18.55</v>
      </c>
      <c r="J336" s="20"/>
      <c r="K336" s="21">
        <f t="shared" si="5"/>
        <v>222.24999999991525</v>
      </c>
    </row>
    <row r="337" spans="1:11" ht="12" customHeight="1" x14ac:dyDescent="0.25">
      <c r="A337" s="28">
        <v>3</v>
      </c>
      <c r="B337" s="14">
        <v>43647</v>
      </c>
      <c r="C337" s="15" t="str">
        <f>VLOOKUP(A337,Base!B:C,2,0)</f>
        <v>3.1.90.46.03 - AUXÍLIO-ALIMENTAÇÃO</v>
      </c>
      <c r="D337" s="15" t="str">
        <f>VLOOKUP(A337,Base!B:D,3,0)</f>
        <v>COLABORADORES DIVERSOS</v>
      </c>
      <c r="E337" s="23">
        <f>VLOOKUP($A337,Base!B:E,4,0)</f>
        <v>0</v>
      </c>
      <c r="F337" s="24" t="str">
        <f>VLOOKUP($A337,Base!B:F,5,0)</f>
        <v>RECIBO</v>
      </c>
      <c r="G337" s="23"/>
      <c r="H337" s="17" t="s">
        <v>228</v>
      </c>
      <c r="I337" s="19"/>
      <c r="J337" s="20">
        <v>6752</v>
      </c>
      <c r="K337" s="21">
        <f t="shared" si="5"/>
        <v>-6529.7500000000846</v>
      </c>
    </row>
    <row r="338" spans="1:11" ht="12" customHeight="1" x14ac:dyDescent="0.25">
      <c r="A338" s="28">
        <v>13</v>
      </c>
      <c r="B338" s="14">
        <v>43647</v>
      </c>
      <c r="C338" s="15" t="str">
        <f>VLOOKUP(A338,Base!B:C,2,0)</f>
        <v>3.1.90.46.03 - AUXÍLIO-ALIMENTAÇÃO</v>
      </c>
      <c r="D338" s="15"/>
      <c r="E338" s="23"/>
      <c r="F338" s="24" t="str">
        <f>VLOOKUP($A338,Base!B:F,5,0)</f>
        <v>RECIBO</v>
      </c>
      <c r="G338" s="23"/>
      <c r="H338" s="17" t="s">
        <v>229</v>
      </c>
      <c r="I338" s="19"/>
      <c r="J338" s="20">
        <v>976</v>
      </c>
      <c r="K338" s="21">
        <f t="shared" si="5"/>
        <v>-7505.7500000000846</v>
      </c>
    </row>
    <row r="339" spans="1:11" ht="12" customHeight="1" x14ac:dyDescent="0.25">
      <c r="A339" s="28">
        <v>1</v>
      </c>
      <c r="B339" s="14">
        <v>43647</v>
      </c>
      <c r="C339" s="15" t="str">
        <f>VLOOKUP(A339,Base!B:C,2,0)</f>
        <v>3.1.90.11.61 - VENCIMENTOS E SALÁRIOS</v>
      </c>
      <c r="D339" s="15" t="str">
        <f>VLOOKUP(A339,Base!B:D,3,0)</f>
        <v>COLABORADORES DIVERSOS</v>
      </c>
      <c r="E339" s="23">
        <f>VLOOKUP($A339,Base!B:E,4,0)</f>
        <v>0</v>
      </c>
      <c r="F339" s="24" t="str">
        <f>VLOOKUP($A339,Base!B:F,5,0)</f>
        <v>HOLERITE</v>
      </c>
      <c r="G339" s="23"/>
      <c r="H339" s="17" t="s">
        <v>230</v>
      </c>
      <c r="I339" s="19"/>
      <c r="J339" s="20">
        <v>204441.56</v>
      </c>
      <c r="K339" s="21">
        <f t="shared" si="5"/>
        <v>-211947.31000000008</v>
      </c>
    </row>
    <row r="340" spans="1:11" ht="12" customHeight="1" x14ac:dyDescent="0.25">
      <c r="A340" s="28">
        <v>30</v>
      </c>
      <c r="B340" s="14">
        <v>43647</v>
      </c>
      <c r="C340" s="15" t="str">
        <f>VLOOKUP(A340,Base!B:C,2,0)</f>
        <v>3.3.90.14.03 - AJUDA DE CUSTO PARA VIAGEM</v>
      </c>
      <c r="D340" s="15" t="str">
        <f>VLOOKUP(A340,Base!B:D,3,0)</f>
        <v>COLABORADORES DIVERSOS</v>
      </c>
      <c r="E340" s="23">
        <f>VLOOKUP($A340,Base!B:E,4,0)</f>
        <v>0</v>
      </c>
      <c r="F340" s="24" t="str">
        <f>VLOOKUP($A340,Base!B:F,5,0)</f>
        <v>RECIBO</v>
      </c>
      <c r="G340" s="23"/>
      <c r="H340" s="17" t="s">
        <v>231</v>
      </c>
      <c r="I340" s="19"/>
      <c r="J340" s="20">
        <v>1617</v>
      </c>
      <c r="K340" s="21">
        <f t="shared" si="5"/>
        <v>-213564.31000000008</v>
      </c>
    </row>
    <row r="341" spans="1:11" ht="12" customHeight="1" x14ac:dyDescent="0.25">
      <c r="A341" s="28">
        <v>30</v>
      </c>
      <c r="B341" s="14">
        <v>43647</v>
      </c>
      <c r="C341" s="15" t="str">
        <f>VLOOKUP(A341,Base!B:C,2,0)</f>
        <v>3.3.90.14.03 - AJUDA DE CUSTO PARA VIAGEM</v>
      </c>
      <c r="D341" s="15" t="str">
        <f>VLOOKUP(A341,Base!B:D,3,0)</f>
        <v>COLABORADORES DIVERSOS</v>
      </c>
      <c r="E341" s="23">
        <f>VLOOKUP($A341,Base!B:E,4,0)</f>
        <v>0</v>
      </c>
      <c r="F341" s="24" t="str">
        <f>VLOOKUP($A341,Base!B:F,5,0)</f>
        <v>RECIBO</v>
      </c>
      <c r="G341" s="23"/>
      <c r="H341" s="17" t="s">
        <v>232</v>
      </c>
      <c r="I341" s="19"/>
      <c r="J341" s="20">
        <v>1173</v>
      </c>
      <c r="K341" s="21">
        <f t="shared" si="5"/>
        <v>-214737.31000000008</v>
      </c>
    </row>
    <row r="342" spans="1:11" ht="12" customHeight="1" x14ac:dyDescent="0.25">
      <c r="A342" s="28">
        <v>31</v>
      </c>
      <c r="B342" s="14">
        <v>43647</v>
      </c>
      <c r="C342" s="15" t="str">
        <f>VLOOKUP(A342,Base!B:C,2,0)</f>
        <v>3.3.90.39.04 - DIREITOS AUTORAIS</v>
      </c>
      <c r="D342" s="15"/>
      <c r="E342" s="23"/>
      <c r="F342" s="24" t="str">
        <f>VLOOKUP($A342,Base!B:F,5,0)</f>
        <v>RECIBO</v>
      </c>
      <c r="G342" s="23"/>
      <c r="H342" s="17" t="s">
        <v>233</v>
      </c>
      <c r="I342" s="19"/>
      <c r="J342" s="20">
        <v>138</v>
      </c>
      <c r="K342" s="21">
        <f t="shared" si="5"/>
        <v>-214875.31000000008</v>
      </c>
    </row>
    <row r="343" spans="1:11" ht="12" customHeight="1" x14ac:dyDescent="0.25">
      <c r="A343" s="28">
        <v>2</v>
      </c>
      <c r="B343" s="14">
        <v>43647</v>
      </c>
      <c r="C343" s="15" t="str">
        <f>VLOOKUP(A343,Base!B:C,2,0)</f>
        <v>3.1.90.11.61 - VENCIMENTOS E SALÁRIOS</v>
      </c>
      <c r="D343" s="15" t="str">
        <f>VLOOKUP(A343,Base!B:D,3,0)</f>
        <v>NICOLE BARÃO RAFFS</v>
      </c>
      <c r="E343" s="23" t="str">
        <f>VLOOKUP($A343,Base!B:E,4,0)</f>
        <v>020.621.669-66</v>
      </c>
      <c r="F343" s="24" t="str">
        <f>VLOOKUP($A343,Base!B:F,5,0)</f>
        <v>HOLERITE</v>
      </c>
      <c r="G343" s="23"/>
      <c r="H343" s="17" t="s">
        <v>234</v>
      </c>
      <c r="I343" s="19"/>
      <c r="J343" s="20">
        <v>10583.3</v>
      </c>
      <c r="K343" s="21">
        <f t="shared" si="5"/>
        <v>-225458.61000000007</v>
      </c>
    </row>
    <row r="344" spans="1:11" ht="12" customHeight="1" x14ac:dyDescent="0.25">
      <c r="A344" s="28">
        <v>12</v>
      </c>
      <c r="B344" s="14">
        <v>43647</v>
      </c>
      <c r="C344" s="15" t="str">
        <f>VLOOKUP(A344,Base!B:C,2,0)</f>
        <v>3.1.90.46.03 - AUXÍLIO-ALIMENTAÇÃO</v>
      </c>
      <c r="D344" s="15" t="str">
        <f>VLOOKUP(A344,Base!B:D,3,0)</f>
        <v>NICOLE BARÃO RAFFS</v>
      </c>
      <c r="E344" s="23" t="str">
        <f>VLOOKUP($A344,Base!B:E,4,0)</f>
        <v>020.621.669-66</v>
      </c>
      <c r="F344" s="24" t="str">
        <f>VLOOKUP($A344,Base!B:F,5,0)</f>
        <v>RECIBO</v>
      </c>
      <c r="G344" s="23"/>
      <c r="H344" s="17" t="s">
        <v>228</v>
      </c>
      <c r="I344" s="19"/>
      <c r="J344" s="20">
        <v>368</v>
      </c>
      <c r="K344" s="21">
        <f t="shared" si="5"/>
        <v>-225826.61000000007</v>
      </c>
    </row>
    <row r="345" spans="1:11" ht="12" customHeight="1" x14ac:dyDescent="0.25">
      <c r="A345" s="28">
        <v>14</v>
      </c>
      <c r="B345" s="14">
        <v>43647</v>
      </c>
      <c r="C345" s="15" t="str">
        <f>VLOOKUP(A345,Base!B:C,2,0)</f>
        <v>3.3.90.39.39 - ENCARGOS FINANCEIROS INDEDUTÍVEIS</v>
      </c>
      <c r="D345" s="15" t="str">
        <f>VLOOKUP(A345,Base!B:D,3,0)</f>
        <v>BANCO DO BRASIL</v>
      </c>
      <c r="E345" s="23">
        <f>VLOOKUP($A345,Base!B:E,4,0)</f>
        <v>191</v>
      </c>
      <c r="F345" s="24" t="str">
        <f>VLOOKUP($A345,Base!B:F,5,0)</f>
        <v>AVISO DE DÉBITO</v>
      </c>
      <c r="G345" s="23"/>
      <c r="H345" s="17" t="s">
        <v>235</v>
      </c>
      <c r="I345" s="19"/>
      <c r="J345" s="20">
        <v>11.4</v>
      </c>
      <c r="K345" s="21">
        <f t="shared" si="5"/>
        <v>-225838.01000000007</v>
      </c>
    </row>
    <row r="346" spans="1:11" ht="12" customHeight="1" x14ac:dyDescent="0.25">
      <c r="A346" s="28">
        <v>14</v>
      </c>
      <c r="B346" s="14">
        <v>43647</v>
      </c>
      <c r="C346" s="15" t="str">
        <f>VLOOKUP(A346,Base!B:C,2,0)</f>
        <v>3.3.90.39.39 - ENCARGOS FINANCEIROS INDEDUTÍVEIS</v>
      </c>
      <c r="D346" s="15" t="str">
        <f>VLOOKUP(A346,Base!B:D,3,0)</f>
        <v>BANCO DO BRASIL</v>
      </c>
      <c r="E346" s="23">
        <f>VLOOKUP($A346,Base!B:E,4,0)</f>
        <v>191</v>
      </c>
      <c r="F346" s="24" t="str">
        <f>VLOOKUP($A346,Base!B:F,5,0)</f>
        <v>AVISO DE DÉBITO</v>
      </c>
      <c r="G346" s="23"/>
      <c r="H346" s="17" t="s">
        <v>235</v>
      </c>
      <c r="I346" s="19"/>
      <c r="J346" s="20">
        <v>17.100000000000001</v>
      </c>
      <c r="K346" s="21">
        <f t="shared" si="5"/>
        <v>-225855.11000000007</v>
      </c>
    </row>
    <row r="347" spans="1:11" ht="12" customHeight="1" x14ac:dyDescent="0.25">
      <c r="A347" s="28">
        <v>14</v>
      </c>
      <c r="B347" s="14">
        <v>43647</v>
      </c>
      <c r="C347" s="15" t="str">
        <f>VLOOKUP(A347,Base!B:C,2,0)</f>
        <v>3.3.90.39.39 - ENCARGOS FINANCEIROS INDEDUTÍVEIS</v>
      </c>
      <c r="D347" s="15" t="str">
        <f>VLOOKUP(A347,Base!B:D,3,0)</f>
        <v>BANCO DO BRASIL</v>
      </c>
      <c r="E347" s="23">
        <f>VLOOKUP($A347,Base!B:E,4,0)</f>
        <v>191</v>
      </c>
      <c r="F347" s="24" t="str">
        <f>VLOOKUP($A347,Base!B:F,5,0)</f>
        <v>AVISO DE DÉBITO</v>
      </c>
      <c r="G347" s="23"/>
      <c r="H347" s="17" t="s">
        <v>236</v>
      </c>
      <c r="I347" s="19"/>
      <c r="J347" s="20">
        <v>5.7</v>
      </c>
      <c r="K347" s="21">
        <f t="shared" si="5"/>
        <v>-225860.81000000008</v>
      </c>
    </row>
    <row r="348" spans="1:11" ht="12" customHeight="1" x14ac:dyDescent="0.25">
      <c r="A348" s="28">
        <v>14</v>
      </c>
      <c r="B348" s="14">
        <v>43647</v>
      </c>
      <c r="C348" s="15" t="str">
        <f>VLOOKUP(A348,Base!B:C,2,0)</f>
        <v>3.3.90.39.39 - ENCARGOS FINANCEIROS INDEDUTÍVEIS</v>
      </c>
      <c r="D348" s="15" t="str">
        <f>VLOOKUP(A348,Base!B:D,3,0)</f>
        <v>BANCO DO BRASIL</v>
      </c>
      <c r="E348" s="23">
        <f>VLOOKUP($A348,Base!B:E,4,0)</f>
        <v>191</v>
      </c>
      <c r="F348" s="24" t="str">
        <f>VLOOKUP($A348,Base!B:F,5,0)</f>
        <v>AVISO DE DÉBITO</v>
      </c>
      <c r="G348" s="23"/>
      <c r="H348" s="17" t="s">
        <v>236</v>
      </c>
      <c r="I348" s="19"/>
      <c r="J348" s="20">
        <v>5.7</v>
      </c>
      <c r="K348" s="21">
        <f t="shared" si="5"/>
        <v>-225866.5100000001</v>
      </c>
    </row>
    <row r="349" spans="1:11" ht="12" customHeight="1" x14ac:dyDescent="0.25">
      <c r="A349" s="28">
        <v>14</v>
      </c>
      <c r="B349" s="14">
        <v>43647</v>
      </c>
      <c r="C349" s="15" t="str">
        <f>VLOOKUP(A349,Base!B:C,2,0)</f>
        <v>3.3.90.39.39 - ENCARGOS FINANCEIROS INDEDUTÍVEIS</v>
      </c>
      <c r="D349" s="15" t="str">
        <f>VLOOKUP(A349,Base!B:D,3,0)</f>
        <v>BANCO DO BRASIL</v>
      </c>
      <c r="E349" s="23">
        <f>VLOOKUP($A349,Base!B:E,4,0)</f>
        <v>191</v>
      </c>
      <c r="F349" s="24" t="str">
        <f>VLOOKUP($A349,Base!B:F,5,0)</f>
        <v>AVISO DE DÉBITO</v>
      </c>
      <c r="G349" s="23"/>
      <c r="H349" s="17" t="s">
        <v>236</v>
      </c>
      <c r="I349" s="19"/>
      <c r="J349" s="20">
        <v>5.7</v>
      </c>
      <c r="K349" s="21">
        <f t="shared" si="5"/>
        <v>-225872.21000000011</v>
      </c>
    </row>
    <row r="350" spans="1:11" ht="12" customHeight="1" x14ac:dyDescent="0.25">
      <c r="A350" s="28">
        <v>5</v>
      </c>
      <c r="B350" s="14">
        <v>43647</v>
      </c>
      <c r="C350" s="15" t="str">
        <f>VLOOKUP(A350,Base!B:C,2,0)</f>
        <v>RESGATE APLICAÇÃO</v>
      </c>
      <c r="D350" s="15" t="str">
        <f>VLOOKUP(A350,Base!B:D,3,0)</f>
        <v>PALCOPARANÁ</v>
      </c>
      <c r="E350" s="23" t="str">
        <f>VLOOKUP($A350,Base!B:E,4,0)</f>
        <v>25.298.788/0001-95</v>
      </c>
      <c r="F350" s="24">
        <f>VLOOKUP($A350,Base!B:F,5,0)</f>
        <v>0</v>
      </c>
      <c r="G350" s="23"/>
      <c r="H350" s="17" t="s">
        <v>13</v>
      </c>
      <c r="I350" s="19">
        <v>226000</v>
      </c>
      <c r="J350" s="20"/>
      <c r="K350" s="21">
        <f t="shared" si="5"/>
        <v>127.78999999989173</v>
      </c>
    </row>
    <row r="351" spans="1:11" ht="12" customHeight="1" x14ac:dyDescent="0.25">
      <c r="A351" s="28">
        <v>5</v>
      </c>
      <c r="B351" s="14">
        <v>43647</v>
      </c>
      <c r="C351" s="15" t="str">
        <f>VLOOKUP(A351,Base!B:C,2,0)</f>
        <v>RESGATE APLICAÇÃO</v>
      </c>
      <c r="D351" s="15" t="str">
        <f>VLOOKUP(A351,Base!B:D,3,0)</f>
        <v>PALCOPARANÁ</v>
      </c>
      <c r="E351" s="23" t="str">
        <f>VLOOKUP($A351,Base!B:E,4,0)</f>
        <v>25.298.788/0001-95</v>
      </c>
      <c r="F351" s="24">
        <f>VLOOKUP($A351,Base!B:F,5,0)</f>
        <v>0</v>
      </c>
      <c r="G351" s="23"/>
      <c r="H351" s="17" t="s">
        <v>13</v>
      </c>
      <c r="I351" s="19">
        <v>1889.36</v>
      </c>
      <c r="J351" s="20"/>
      <c r="K351" s="21">
        <f t="shared" si="5"/>
        <v>2017.1499999998916</v>
      </c>
    </row>
    <row r="352" spans="1:11" ht="12" customHeight="1" x14ac:dyDescent="0.25">
      <c r="A352" s="28">
        <v>13</v>
      </c>
      <c r="B352" s="14">
        <v>43649</v>
      </c>
      <c r="C352" s="15" t="str">
        <f>VLOOKUP(A352,Base!B:C,2,0)</f>
        <v>3.1.90.46.03 - AUXÍLIO-ALIMENTAÇÃO</v>
      </c>
      <c r="D352" s="15" t="s">
        <v>36</v>
      </c>
      <c r="E352" s="23" t="s">
        <v>37</v>
      </c>
      <c r="F352" s="24" t="str">
        <f>VLOOKUP($A352,Base!B:F,5,0)</f>
        <v>RECIBO</v>
      </c>
      <c r="G352" s="23"/>
      <c r="H352" s="17" t="s">
        <v>228</v>
      </c>
      <c r="I352" s="19"/>
      <c r="J352" s="20">
        <v>304</v>
      </c>
      <c r="K352" s="21">
        <f t="shared" si="5"/>
        <v>1713.1499999998916</v>
      </c>
    </row>
    <row r="353" spans="1:11" ht="12" customHeight="1" x14ac:dyDescent="0.25">
      <c r="A353" s="28">
        <v>13</v>
      </c>
      <c r="B353" s="14">
        <v>43649</v>
      </c>
      <c r="C353" s="15" t="str">
        <f>VLOOKUP(A353,Base!B:C,2,0)</f>
        <v>3.1.90.46.03 - AUXÍLIO-ALIMENTAÇÃO</v>
      </c>
      <c r="D353" s="15" t="s">
        <v>33</v>
      </c>
      <c r="E353" s="23" t="s">
        <v>34</v>
      </c>
      <c r="F353" s="24" t="str">
        <f>VLOOKUP($A353,Base!B:F,5,0)</f>
        <v>RECIBO</v>
      </c>
      <c r="G353" s="23"/>
      <c r="H353" s="17" t="s">
        <v>228</v>
      </c>
      <c r="I353" s="19"/>
      <c r="J353" s="20">
        <v>304</v>
      </c>
      <c r="K353" s="21">
        <f t="shared" si="5"/>
        <v>1409.1499999998916</v>
      </c>
    </row>
    <row r="354" spans="1:11" ht="12" customHeight="1" x14ac:dyDescent="0.25">
      <c r="A354" s="28">
        <v>13</v>
      </c>
      <c r="B354" s="14">
        <v>43649</v>
      </c>
      <c r="C354" s="15" t="str">
        <f>VLOOKUP(A354,Base!B:C,2,0)</f>
        <v>3.1.90.46.03 - AUXÍLIO-ALIMENTAÇÃO</v>
      </c>
      <c r="D354" s="15" t="s">
        <v>82</v>
      </c>
      <c r="E354" s="23" t="s">
        <v>83</v>
      </c>
      <c r="F354" s="24" t="str">
        <f>VLOOKUP($A354,Base!B:F,5,0)</f>
        <v>RECIBO</v>
      </c>
      <c r="G354" s="23"/>
      <c r="H354" s="17" t="s">
        <v>228</v>
      </c>
      <c r="I354" s="19"/>
      <c r="J354" s="20">
        <v>8</v>
      </c>
      <c r="K354" s="21">
        <f t="shared" si="5"/>
        <v>1401.1499999998916</v>
      </c>
    </row>
    <row r="355" spans="1:11" ht="12" customHeight="1" x14ac:dyDescent="0.25">
      <c r="A355" s="28">
        <v>31</v>
      </c>
      <c r="B355" s="14">
        <v>43649</v>
      </c>
      <c r="C355" s="15" t="str">
        <f>VLOOKUP(A355,Base!B:C,2,0)</f>
        <v>3.3.90.39.04 - DIREITOS AUTORAIS</v>
      </c>
      <c r="D355" s="15" t="s">
        <v>82</v>
      </c>
      <c r="E355" s="23" t="s">
        <v>83</v>
      </c>
      <c r="F355" s="24" t="str">
        <f>VLOOKUP($A355,Base!B:F,5,0)</f>
        <v>RECIBO</v>
      </c>
      <c r="G355" s="23"/>
      <c r="H355" s="17" t="s">
        <v>231</v>
      </c>
      <c r="I355" s="19"/>
      <c r="J355" s="20">
        <v>77</v>
      </c>
      <c r="K355" s="21">
        <f t="shared" si="5"/>
        <v>1324.1499999998916</v>
      </c>
    </row>
    <row r="356" spans="1:11" ht="12" customHeight="1" x14ac:dyDescent="0.25">
      <c r="A356" s="28">
        <v>31</v>
      </c>
      <c r="B356" s="14">
        <v>43649</v>
      </c>
      <c r="C356" s="15" t="str">
        <f>VLOOKUP(A356,Base!B:C,2,0)</f>
        <v>3.3.90.39.04 - DIREITOS AUTORAIS</v>
      </c>
      <c r="D356" s="15" t="s">
        <v>84</v>
      </c>
      <c r="E356" s="23" t="s">
        <v>85</v>
      </c>
      <c r="F356" s="24" t="str">
        <f>VLOOKUP($A356,Base!B:F,5,0)</f>
        <v>RECIBO</v>
      </c>
      <c r="G356" s="23"/>
      <c r="H356" s="17" t="s">
        <v>231</v>
      </c>
      <c r="I356" s="19"/>
      <c r="J356" s="20">
        <v>77</v>
      </c>
      <c r="K356" s="21">
        <f t="shared" si="5"/>
        <v>1247.1499999998916</v>
      </c>
    </row>
    <row r="357" spans="1:11" ht="12" customHeight="1" x14ac:dyDescent="0.25">
      <c r="A357" s="28">
        <v>13</v>
      </c>
      <c r="B357" s="14">
        <v>43649</v>
      </c>
      <c r="C357" s="15" t="str">
        <f>VLOOKUP(A357,Base!B:C,2,0)</f>
        <v>3.1.90.46.03 - AUXÍLIO-ALIMENTAÇÃO</v>
      </c>
      <c r="D357" s="15" t="s">
        <v>84</v>
      </c>
      <c r="E357" s="23" t="s">
        <v>85</v>
      </c>
      <c r="F357" s="24" t="str">
        <f>VLOOKUP($A357,Base!B:F,5,0)</f>
        <v>RECIBO</v>
      </c>
      <c r="G357" s="23"/>
      <c r="H357" s="17" t="s">
        <v>228</v>
      </c>
      <c r="I357" s="19"/>
      <c r="J357" s="20">
        <v>8</v>
      </c>
      <c r="K357" s="21">
        <f t="shared" si="5"/>
        <v>1239.1499999998916</v>
      </c>
    </row>
    <row r="358" spans="1:11" ht="12" customHeight="1" x14ac:dyDescent="0.25">
      <c r="A358" s="28">
        <v>31</v>
      </c>
      <c r="B358" s="14">
        <v>43649</v>
      </c>
      <c r="C358" s="15" t="str">
        <f>VLOOKUP(A358,Base!B:C,2,0)</f>
        <v>3.3.90.39.04 - DIREITOS AUTORAIS</v>
      </c>
      <c r="D358" s="15" t="s">
        <v>36</v>
      </c>
      <c r="E358" s="23" t="s">
        <v>37</v>
      </c>
      <c r="F358" s="24" t="str">
        <f>VLOOKUP($A358,Base!B:F,5,0)</f>
        <v>RECIBO</v>
      </c>
      <c r="G358" s="23"/>
      <c r="H358" s="17" t="s">
        <v>231</v>
      </c>
      <c r="I358" s="19"/>
      <c r="J358" s="20">
        <v>69</v>
      </c>
      <c r="K358" s="21">
        <f t="shared" si="5"/>
        <v>1170.1499999998916</v>
      </c>
    </row>
    <row r="359" spans="1:11" ht="12" customHeight="1" x14ac:dyDescent="0.25">
      <c r="A359" s="28">
        <v>31</v>
      </c>
      <c r="B359" s="14">
        <v>43649</v>
      </c>
      <c r="C359" s="15" t="str">
        <f>VLOOKUP(A359,Base!B:C,2,0)</f>
        <v>3.3.90.39.04 - DIREITOS AUTORAIS</v>
      </c>
      <c r="D359" s="15" t="s">
        <v>33</v>
      </c>
      <c r="E359" s="23" t="s">
        <v>34</v>
      </c>
      <c r="F359" s="24" t="str">
        <f>VLOOKUP($A359,Base!B:F,5,0)</f>
        <v>RECIBO</v>
      </c>
      <c r="G359" s="23"/>
      <c r="H359" s="17" t="s">
        <v>231</v>
      </c>
      <c r="I359" s="19"/>
      <c r="J359" s="20">
        <v>69</v>
      </c>
      <c r="K359" s="21">
        <f t="shared" si="5"/>
        <v>1101.1499999998916</v>
      </c>
    </row>
    <row r="360" spans="1:11" ht="12" customHeight="1" x14ac:dyDescent="0.25">
      <c r="A360" s="28">
        <v>14</v>
      </c>
      <c r="B360" s="14">
        <v>43649</v>
      </c>
      <c r="C360" s="15" t="str">
        <f>VLOOKUP(A360,Base!B:C,2,0)</f>
        <v>3.3.90.39.39 - ENCARGOS FINANCEIROS INDEDUTÍVEIS</v>
      </c>
      <c r="D360" s="15" t="str">
        <f>VLOOKUP(A360,Base!B:D,3,0)</f>
        <v>BANCO DO BRASIL</v>
      </c>
      <c r="E360" s="23">
        <f>VLOOKUP($A360,Base!B:E,4,0)</f>
        <v>191</v>
      </c>
      <c r="F360" s="24" t="str">
        <f>VLOOKUP($A360,Base!B:F,5,0)</f>
        <v>AVISO DE DÉBITO</v>
      </c>
      <c r="G360" s="23"/>
      <c r="H360" s="17" t="s">
        <v>237</v>
      </c>
      <c r="I360" s="19"/>
      <c r="J360" s="20">
        <v>10.18</v>
      </c>
      <c r="K360" s="21">
        <f t="shared" si="5"/>
        <v>1090.9699999998916</v>
      </c>
    </row>
    <row r="361" spans="1:11" ht="12" customHeight="1" x14ac:dyDescent="0.25">
      <c r="A361" s="28">
        <v>14</v>
      </c>
      <c r="B361" s="14">
        <v>43649</v>
      </c>
      <c r="C361" s="15" t="str">
        <f>VLOOKUP(A361,Base!B:C,2,0)</f>
        <v>3.3.90.39.39 - ENCARGOS FINANCEIROS INDEDUTÍVEIS</v>
      </c>
      <c r="D361" s="15" t="str">
        <f>VLOOKUP(A361,Base!B:D,3,0)</f>
        <v>BANCO DO BRASIL</v>
      </c>
      <c r="E361" s="23">
        <f>VLOOKUP($A361,Base!B:E,4,0)</f>
        <v>191</v>
      </c>
      <c r="F361" s="24" t="str">
        <f>VLOOKUP($A361,Base!B:F,5,0)</f>
        <v>AVISO DE DÉBITO</v>
      </c>
      <c r="G361" s="23"/>
      <c r="H361" s="17" t="s">
        <v>237</v>
      </c>
      <c r="I361" s="19"/>
      <c r="J361" s="20">
        <v>10.18</v>
      </c>
      <c r="K361" s="21">
        <f t="shared" si="5"/>
        <v>1080.7899999998915</v>
      </c>
    </row>
    <row r="362" spans="1:11" ht="12" customHeight="1" x14ac:dyDescent="0.25">
      <c r="A362" s="28">
        <v>14</v>
      </c>
      <c r="B362" s="14">
        <v>43649</v>
      </c>
      <c r="C362" s="15" t="str">
        <f>VLOOKUP(A362,Base!B:C,2,0)</f>
        <v>3.3.90.39.39 - ENCARGOS FINANCEIROS INDEDUTÍVEIS</v>
      </c>
      <c r="D362" s="15" t="str">
        <f>VLOOKUP(A362,Base!B:D,3,0)</f>
        <v>BANCO DO BRASIL</v>
      </c>
      <c r="E362" s="23">
        <f>VLOOKUP($A362,Base!B:E,4,0)</f>
        <v>191</v>
      </c>
      <c r="F362" s="24" t="str">
        <f>VLOOKUP($A362,Base!B:F,5,0)</f>
        <v>AVISO DE DÉBITO</v>
      </c>
      <c r="G362" s="23"/>
      <c r="H362" s="17" t="s">
        <v>237</v>
      </c>
      <c r="I362" s="19"/>
      <c r="J362" s="20">
        <v>10.18</v>
      </c>
      <c r="K362" s="21">
        <f t="shared" si="5"/>
        <v>1070.6099999998914</v>
      </c>
    </row>
    <row r="363" spans="1:11" ht="12" customHeight="1" x14ac:dyDescent="0.25">
      <c r="A363" s="28">
        <v>14</v>
      </c>
      <c r="B363" s="14">
        <v>43649</v>
      </c>
      <c r="C363" s="15" t="str">
        <f>VLOOKUP(A363,Base!B:C,2,0)</f>
        <v>3.3.90.39.39 - ENCARGOS FINANCEIROS INDEDUTÍVEIS</v>
      </c>
      <c r="D363" s="15" t="str">
        <f>VLOOKUP(A363,Base!B:D,3,0)</f>
        <v>BANCO DO BRASIL</v>
      </c>
      <c r="E363" s="23">
        <f>VLOOKUP($A363,Base!B:E,4,0)</f>
        <v>191</v>
      </c>
      <c r="F363" s="24" t="str">
        <f>VLOOKUP($A363,Base!B:F,5,0)</f>
        <v>AVISO DE DÉBITO</v>
      </c>
      <c r="G363" s="23"/>
      <c r="H363" s="17" t="s">
        <v>237</v>
      </c>
      <c r="I363" s="19"/>
      <c r="J363" s="20">
        <v>10.18</v>
      </c>
      <c r="K363" s="21">
        <f t="shared" si="5"/>
        <v>1060.4299999998914</v>
      </c>
    </row>
    <row r="364" spans="1:11" ht="12" customHeight="1" x14ac:dyDescent="0.25">
      <c r="A364" s="28">
        <v>14</v>
      </c>
      <c r="B364" s="14">
        <v>43649</v>
      </c>
      <c r="C364" s="15" t="str">
        <f>VLOOKUP(A364,Base!B:C,2,0)</f>
        <v>3.3.90.39.39 - ENCARGOS FINANCEIROS INDEDUTÍVEIS</v>
      </c>
      <c r="D364" s="15" t="str">
        <f>VLOOKUP(A364,Base!B:D,3,0)</f>
        <v>BANCO DO BRASIL</v>
      </c>
      <c r="E364" s="23">
        <f>VLOOKUP($A364,Base!B:E,4,0)</f>
        <v>191</v>
      </c>
      <c r="F364" s="24" t="str">
        <f>VLOOKUP($A364,Base!B:F,5,0)</f>
        <v>AVISO DE DÉBITO</v>
      </c>
      <c r="G364" s="23"/>
      <c r="H364" s="17" t="s">
        <v>237</v>
      </c>
      <c r="I364" s="19"/>
      <c r="J364" s="20">
        <v>10.18</v>
      </c>
      <c r="K364" s="21">
        <f t="shared" si="5"/>
        <v>1050.2499999998913</v>
      </c>
    </row>
    <row r="365" spans="1:11" ht="12" customHeight="1" x14ac:dyDescent="0.25">
      <c r="A365" s="28">
        <v>31</v>
      </c>
      <c r="B365" s="14">
        <v>43649</v>
      </c>
      <c r="C365" s="15" t="str">
        <f>VLOOKUP(A365,Base!B:C,2,0)</f>
        <v>3.3.90.39.04 - DIREITOS AUTORAIS</v>
      </c>
      <c r="D365" s="15" t="s">
        <v>68</v>
      </c>
      <c r="E365" s="23" t="s">
        <v>69</v>
      </c>
      <c r="F365" s="24" t="str">
        <f>VLOOKUP($A365,Base!B:F,5,0)</f>
        <v>RECIBO</v>
      </c>
      <c r="G365" s="23"/>
      <c r="H365" s="17" t="s">
        <v>238</v>
      </c>
      <c r="I365" s="19"/>
      <c r="J365" s="20">
        <v>69</v>
      </c>
      <c r="K365" s="21">
        <f t="shared" si="5"/>
        <v>981.24999999989132</v>
      </c>
    </row>
    <row r="366" spans="1:11" ht="12" customHeight="1" x14ac:dyDescent="0.25">
      <c r="A366" s="28">
        <v>13</v>
      </c>
      <c r="B366" s="14">
        <v>43649</v>
      </c>
      <c r="C366" s="15" t="str">
        <f>VLOOKUP(A366,Base!B:C,2,0)</f>
        <v>3.1.90.46.03 - AUXÍLIO-ALIMENTAÇÃO</v>
      </c>
      <c r="D366" s="15" t="s">
        <v>68</v>
      </c>
      <c r="E366" s="23" t="s">
        <v>69</v>
      </c>
      <c r="F366" s="24" t="str">
        <f>VLOOKUP($A366,Base!B:F,5,0)</f>
        <v>RECIBO</v>
      </c>
      <c r="G366" s="23"/>
      <c r="H366" s="17" t="s">
        <v>239</v>
      </c>
      <c r="I366" s="19"/>
      <c r="J366" s="20">
        <v>304</v>
      </c>
      <c r="K366" s="21">
        <f t="shared" si="5"/>
        <v>677.24999999989132</v>
      </c>
    </row>
    <row r="367" spans="1:11" ht="12" customHeight="1" x14ac:dyDescent="0.25">
      <c r="A367" s="28">
        <v>30</v>
      </c>
      <c r="B367" s="14">
        <v>43650</v>
      </c>
      <c r="C367" s="15" t="str">
        <f>VLOOKUP(A367,Base!B:C,2,0)</f>
        <v>3.3.90.14.03 - AJUDA DE CUSTO PARA VIAGEM</v>
      </c>
      <c r="D367" s="15" t="str">
        <f>VLOOKUP(A367,Base!B:D,3,0)</f>
        <v>COLABORADORES DIVERSOS</v>
      </c>
      <c r="E367" s="23">
        <f>VLOOKUP($A367,Base!B:E,4,0)</f>
        <v>0</v>
      </c>
      <c r="F367" s="24" t="str">
        <f>VLOOKUP($A367,Base!B:F,5,0)</f>
        <v>RECIBO</v>
      </c>
      <c r="G367" s="23"/>
      <c r="H367" s="17" t="s">
        <v>240</v>
      </c>
      <c r="I367" s="19"/>
      <c r="J367" s="20">
        <v>14076</v>
      </c>
      <c r="K367" s="21">
        <f t="shared" si="5"/>
        <v>-13398.750000000109</v>
      </c>
    </row>
    <row r="368" spans="1:11" ht="12" customHeight="1" x14ac:dyDescent="0.25">
      <c r="A368" s="28">
        <v>31</v>
      </c>
      <c r="B368" s="14">
        <v>43650</v>
      </c>
      <c r="C368" s="15" t="str">
        <f>VLOOKUP(A368,Base!B:C,2,0)</f>
        <v>3.3.90.39.04 - DIREITOS AUTORAIS</v>
      </c>
      <c r="D368" s="15" t="s">
        <v>82</v>
      </c>
      <c r="E368" s="23" t="s">
        <v>83</v>
      </c>
      <c r="F368" s="24" t="str">
        <f>VLOOKUP($A368,Base!B:F,5,0)</f>
        <v>RECIBO</v>
      </c>
      <c r="G368" s="23"/>
      <c r="H368" s="17" t="s">
        <v>240</v>
      </c>
      <c r="I368" s="19"/>
      <c r="J368" s="20">
        <v>828</v>
      </c>
      <c r="K368" s="21">
        <f t="shared" si="5"/>
        <v>-14226.750000000109</v>
      </c>
    </row>
    <row r="369" spans="1:11" ht="12" customHeight="1" x14ac:dyDescent="0.25">
      <c r="A369" s="28">
        <v>31</v>
      </c>
      <c r="B369" s="14">
        <v>43650</v>
      </c>
      <c r="C369" s="15" t="str">
        <f>VLOOKUP(A369,Base!B:C,2,0)</f>
        <v>3.3.90.39.04 - DIREITOS AUTORAIS</v>
      </c>
      <c r="D369" s="15" t="s">
        <v>84</v>
      </c>
      <c r="E369" s="23" t="s">
        <v>85</v>
      </c>
      <c r="F369" s="24" t="str">
        <f>VLOOKUP($A369,Base!B:F,5,0)</f>
        <v>RECIBO</v>
      </c>
      <c r="G369" s="23"/>
      <c r="H369" s="17" t="s">
        <v>240</v>
      </c>
      <c r="I369" s="19"/>
      <c r="J369" s="20">
        <v>828</v>
      </c>
      <c r="K369" s="21">
        <f t="shared" si="5"/>
        <v>-15054.750000000109</v>
      </c>
    </row>
    <row r="370" spans="1:11" ht="12" customHeight="1" x14ac:dyDescent="0.25">
      <c r="A370" s="28">
        <v>14</v>
      </c>
      <c r="B370" s="14">
        <v>43650</v>
      </c>
      <c r="C370" s="15" t="str">
        <f>VLOOKUP(A370,Base!B:C,2,0)</f>
        <v>3.3.90.39.39 - ENCARGOS FINANCEIROS INDEDUTÍVEIS</v>
      </c>
      <c r="D370" s="15" t="str">
        <f>VLOOKUP(A370,Base!B:D,3,0)</f>
        <v>BANCO DO BRASIL</v>
      </c>
      <c r="E370" s="23">
        <f>VLOOKUP($A370,Base!B:E,4,0)</f>
        <v>191</v>
      </c>
      <c r="F370" s="24" t="str">
        <f>VLOOKUP($A370,Base!B:F,5,0)</f>
        <v>AVISO DE DÉBITO</v>
      </c>
      <c r="G370" s="23"/>
      <c r="H370" s="17" t="s">
        <v>241</v>
      </c>
      <c r="I370" s="19"/>
      <c r="J370" s="20">
        <v>10.18</v>
      </c>
      <c r="K370" s="21">
        <f t="shared" si="5"/>
        <v>-15064.930000000109</v>
      </c>
    </row>
    <row r="371" spans="1:11" ht="12" customHeight="1" x14ac:dyDescent="0.25">
      <c r="A371" s="28">
        <v>14</v>
      </c>
      <c r="B371" s="14">
        <v>43650</v>
      </c>
      <c r="C371" s="15" t="str">
        <f>VLOOKUP(A371,Base!B:C,2,0)</f>
        <v>3.3.90.39.39 - ENCARGOS FINANCEIROS INDEDUTÍVEIS</v>
      </c>
      <c r="D371" s="15" t="str">
        <f>VLOOKUP(A371,Base!B:D,3,0)</f>
        <v>BANCO DO BRASIL</v>
      </c>
      <c r="E371" s="23">
        <f>VLOOKUP($A371,Base!B:E,4,0)</f>
        <v>191</v>
      </c>
      <c r="F371" s="24" t="str">
        <f>VLOOKUP($A371,Base!B:F,5,0)</f>
        <v>AVISO DE DÉBITO</v>
      </c>
      <c r="G371" s="23"/>
      <c r="H371" s="17" t="s">
        <v>241</v>
      </c>
      <c r="I371" s="19"/>
      <c r="J371" s="20">
        <v>10.18</v>
      </c>
      <c r="K371" s="21">
        <f t="shared" si="5"/>
        <v>-15075.11000000011</v>
      </c>
    </row>
    <row r="372" spans="1:11" ht="12" customHeight="1" x14ac:dyDescent="0.25">
      <c r="A372" s="28">
        <v>5</v>
      </c>
      <c r="B372" s="14">
        <v>43650</v>
      </c>
      <c r="C372" s="15" t="str">
        <f>VLOOKUP(A372,Base!B:C,2,0)</f>
        <v>RESGATE APLICAÇÃO</v>
      </c>
      <c r="D372" s="15" t="str">
        <f>VLOOKUP(A372,Base!B:D,3,0)</f>
        <v>PALCOPARANÁ</v>
      </c>
      <c r="E372" s="23" t="str">
        <f>VLOOKUP($A372,Base!B:E,4,0)</f>
        <v>25.298.788/0001-95</v>
      </c>
      <c r="F372" s="24">
        <f>VLOOKUP($A372,Base!B:F,5,0)</f>
        <v>0</v>
      </c>
      <c r="G372" s="23"/>
      <c r="H372" s="17" t="s">
        <v>13</v>
      </c>
      <c r="I372" s="19">
        <v>15500</v>
      </c>
      <c r="J372" s="20"/>
      <c r="K372" s="21">
        <f t="shared" si="5"/>
        <v>424.88999999989028</v>
      </c>
    </row>
    <row r="373" spans="1:11" ht="12" customHeight="1" x14ac:dyDescent="0.25">
      <c r="A373" s="28">
        <v>19</v>
      </c>
      <c r="B373" s="14">
        <v>43651</v>
      </c>
      <c r="C373" s="15" t="str">
        <f>VLOOKUP(A373,Base!B:C,2,0)</f>
        <v>CRÉDITO</v>
      </c>
      <c r="D373" s="15" t="str">
        <f>VLOOKUP(A373,Base!B:D,3,0)</f>
        <v>PALCOPARANÁ</v>
      </c>
      <c r="E373" s="23" t="str">
        <f>VLOOKUP($A373,Base!B:E,4,0)</f>
        <v>25.298.788/0001-95</v>
      </c>
      <c r="F373" s="24">
        <f>VLOOKUP($A373,Base!B:F,5,0)</f>
        <v>0</v>
      </c>
      <c r="G373" s="23"/>
      <c r="H373" s="17" t="s">
        <v>242</v>
      </c>
      <c r="I373" s="19">
        <v>92</v>
      </c>
      <c r="J373" s="20"/>
      <c r="K373" s="21">
        <f t="shared" si="5"/>
        <v>516.88999999989028</v>
      </c>
    </row>
    <row r="374" spans="1:11" ht="12" customHeight="1" x14ac:dyDescent="0.25">
      <c r="A374" s="28">
        <v>19</v>
      </c>
      <c r="B374" s="14">
        <v>43651</v>
      </c>
      <c r="C374" s="15" t="str">
        <f>VLOOKUP(A374,Base!B:C,2,0)</f>
        <v>CRÉDITO</v>
      </c>
      <c r="D374" s="15" t="str">
        <f>VLOOKUP(A374,Base!B:D,3,0)</f>
        <v>PALCOPARANÁ</v>
      </c>
      <c r="E374" s="23" t="str">
        <f>VLOOKUP($A374,Base!B:E,4,0)</f>
        <v>25.298.788/0001-95</v>
      </c>
      <c r="F374" s="24">
        <f>VLOOKUP($A374,Base!B:F,5,0)</f>
        <v>0</v>
      </c>
      <c r="G374" s="23"/>
      <c r="H374" s="17" t="s">
        <v>243</v>
      </c>
      <c r="I374" s="19">
        <v>69</v>
      </c>
      <c r="J374" s="20"/>
      <c r="K374" s="21">
        <f t="shared" si="5"/>
        <v>585.88999999989028</v>
      </c>
    </row>
    <row r="375" spans="1:11" ht="12" customHeight="1" x14ac:dyDescent="0.25">
      <c r="A375" s="28">
        <v>5</v>
      </c>
      <c r="B375" s="14">
        <v>43651</v>
      </c>
      <c r="C375" s="15" t="str">
        <f>VLOOKUP(A375,Base!B:C,2,0)</f>
        <v>RESGATE APLICAÇÃO</v>
      </c>
      <c r="D375" s="15" t="str">
        <f>VLOOKUP(A375,Base!B:D,3,0)</f>
        <v>PALCOPARANÁ</v>
      </c>
      <c r="E375" s="23" t="str">
        <f>VLOOKUP($A375,Base!B:E,4,0)</f>
        <v>25.298.788/0001-95</v>
      </c>
      <c r="F375" s="24">
        <f>VLOOKUP($A375,Base!B:F,5,0)</f>
        <v>0</v>
      </c>
      <c r="G375" s="23"/>
      <c r="H375" s="17" t="s">
        <v>13</v>
      </c>
      <c r="I375" s="19">
        <v>140.43</v>
      </c>
      <c r="J375" s="20"/>
      <c r="K375" s="21">
        <f t="shared" si="5"/>
        <v>726.31999999989034</v>
      </c>
    </row>
    <row r="376" spans="1:11" ht="12" customHeight="1" x14ac:dyDescent="0.25">
      <c r="A376" s="28">
        <v>7</v>
      </c>
      <c r="B376" s="14">
        <v>43651</v>
      </c>
      <c r="C376" s="15" t="str">
        <f>VLOOKUP(A376,Base!B:C,2,0)</f>
        <v>3.3.90.39.05 - SERVIÇOS TÉCNICOS PROFISSIONAIS</v>
      </c>
      <c r="D376" s="15" t="str">
        <f>VLOOKUP(A376,Base!B:D,3,0)</f>
        <v>SBSC CONTADORES ASSOCIADOS LTDA</v>
      </c>
      <c r="E376" s="23" t="str">
        <f>VLOOKUP($A376,Base!B:E,4,0)</f>
        <v>05.377.113/0001-24</v>
      </c>
      <c r="F376" s="24" t="str">
        <f>VLOOKUP($A376,Base!B:F,5,0)</f>
        <v>NFS-e</v>
      </c>
      <c r="G376" s="23">
        <v>772</v>
      </c>
      <c r="H376" s="17" t="s">
        <v>244</v>
      </c>
      <c r="I376" s="19"/>
      <c r="J376" s="20">
        <v>2166.66</v>
      </c>
      <c r="K376" s="21">
        <f t="shared" si="5"/>
        <v>-1440.3400000001095</v>
      </c>
    </row>
    <row r="377" spans="1:11" ht="12" customHeight="1" x14ac:dyDescent="0.25">
      <c r="A377" s="28">
        <v>10</v>
      </c>
      <c r="B377" s="14">
        <v>43651</v>
      </c>
      <c r="C377" s="15" t="str">
        <f>VLOOKUP(A377,Base!B:C,2,0)</f>
        <v>3.1.90.13.02 - FGTS</v>
      </c>
      <c r="D377" s="15" t="str">
        <f>VLOOKUP(A377,Base!B:D,3,0)</f>
        <v>CAIXA ECONÔMICA FEDERAL</v>
      </c>
      <c r="E377" s="23">
        <f>VLOOKUP($A377,Base!B:E,4,0)</f>
        <v>0</v>
      </c>
      <c r="F377" s="24" t="str">
        <f>VLOOKUP($A377,Base!B:F,5,0)</f>
        <v>GUIA GRRF</v>
      </c>
      <c r="G377" s="23"/>
      <c r="H377" s="17" t="s">
        <v>245</v>
      </c>
      <c r="I377" s="19"/>
      <c r="J377" s="20">
        <v>21149.7</v>
      </c>
      <c r="K377" s="21">
        <f t="shared" si="5"/>
        <v>-22590.04000000011</v>
      </c>
    </row>
    <row r="378" spans="1:11" ht="12" customHeight="1" x14ac:dyDescent="0.25">
      <c r="A378" s="28">
        <v>5</v>
      </c>
      <c r="B378" s="14">
        <v>43651</v>
      </c>
      <c r="C378" s="15" t="str">
        <f>VLOOKUP(A378,Base!B:C,2,0)</f>
        <v>RESGATE APLICAÇÃO</v>
      </c>
      <c r="D378" s="15" t="str">
        <f>VLOOKUP(A378,Base!B:D,3,0)</f>
        <v>PALCOPARANÁ</v>
      </c>
      <c r="E378" s="23" t="str">
        <f>VLOOKUP($A378,Base!B:E,4,0)</f>
        <v>25.298.788/0001-95</v>
      </c>
      <c r="F378" s="24">
        <f>VLOOKUP($A378,Base!B:F,5,0)</f>
        <v>0</v>
      </c>
      <c r="G378" s="23"/>
      <c r="H378" s="17" t="s">
        <v>13</v>
      </c>
      <c r="I378" s="19">
        <v>23000</v>
      </c>
      <c r="J378" s="20"/>
      <c r="K378" s="21">
        <f t="shared" si="5"/>
        <v>409.95999999988999</v>
      </c>
    </row>
    <row r="379" spans="1:11" ht="12" customHeight="1" x14ac:dyDescent="0.25">
      <c r="A379" s="28">
        <v>5</v>
      </c>
      <c r="B379" s="14">
        <v>43651</v>
      </c>
      <c r="C379" s="15" t="str">
        <f>VLOOKUP(A379,Base!B:C,2,0)</f>
        <v>RESGATE APLICAÇÃO</v>
      </c>
      <c r="D379" s="15" t="str">
        <f>VLOOKUP(A379,Base!B:D,3,0)</f>
        <v>PALCOPARANÁ</v>
      </c>
      <c r="E379" s="23" t="str">
        <f>VLOOKUP($A379,Base!B:E,4,0)</f>
        <v>25.298.788/0001-95</v>
      </c>
      <c r="F379" s="24">
        <f>VLOOKUP($A379,Base!B:F,5,0)</f>
        <v>0</v>
      </c>
      <c r="G379" s="23"/>
      <c r="H379" s="17" t="s">
        <v>13</v>
      </c>
      <c r="I379" s="19">
        <v>213.44</v>
      </c>
      <c r="J379" s="20"/>
      <c r="K379" s="21">
        <f t="shared" si="5"/>
        <v>623.39999999989004</v>
      </c>
    </row>
    <row r="380" spans="1:11" ht="12" customHeight="1" x14ac:dyDescent="0.25">
      <c r="A380" s="28">
        <v>31</v>
      </c>
      <c r="B380" s="14">
        <v>43655</v>
      </c>
      <c r="C380" s="15" t="str">
        <f>VLOOKUP(A380,Base!B:C,2,0)</f>
        <v>3.3.90.39.04 - DIREITOS AUTORAIS</v>
      </c>
      <c r="D380" s="15"/>
      <c r="E380" s="23"/>
      <c r="F380" s="24" t="str">
        <f>VLOOKUP($A380,Base!B:F,5,0)</f>
        <v>RECIBO</v>
      </c>
      <c r="G380" s="23"/>
      <c r="H380" s="17" t="s">
        <v>246</v>
      </c>
      <c r="I380" s="19"/>
      <c r="J380" s="20">
        <v>1656</v>
      </c>
      <c r="K380" s="21">
        <f t="shared" si="5"/>
        <v>-1032.60000000011</v>
      </c>
    </row>
    <row r="381" spans="1:11" ht="12" customHeight="1" x14ac:dyDescent="0.25">
      <c r="A381" s="28">
        <v>5</v>
      </c>
      <c r="B381" s="14">
        <v>43655</v>
      </c>
      <c r="C381" s="15" t="str">
        <f>VLOOKUP(A381,Base!B:C,2,0)</f>
        <v>RESGATE APLICAÇÃO</v>
      </c>
      <c r="D381" s="15" t="str">
        <f>VLOOKUP(A381,Base!B:D,3,0)</f>
        <v>PALCOPARANÁ</v>
      </c>
      <c r="E381" s="23" t="str">
        <f>VLOOKUP($A381,Base!B:E,4,0)</f>
        <v>25.298.788/0001-95</v>
      </c>
      <c r="F381" s="24">
        <f>VLOOKUP($A381,Base!B:F,5,0)</f>
        <v>0</v>
      </c>
      <c r="G381" s="23"/>
      <c r="H381" s="17" t="s">
        <v>13</v>
      </c>
      <c r="I381" s="19">
        <v>1500</v>
      </c>
      <c r="J381" s="20"/>
      <c r="K381" s="21">
        <f t="shared" si="5"/>
        <v>467.39999999989004</v>
      </c>
    </row>
    <row r="382" spans="1:11" ht="12" customHeight="1" x14ac:dyDescent="0.25">
      <c r="A382" s="28">
        <v>5</v>
      </c>
      <c r="B382" s="14">
        <v>43655</v>
      </c>
      <c r="C382" s="15" t="str">
        <f>VLOOKUP(A382,Base!B:C,2,0)</f>
        <v>RESGATE APLICAÇÃO</v>
      </c>
      <c r="D382" s="15" t="str">
        <f>VLOOKUP(A382,Base!B:D,3,0)</f>
        <v>PALCOPARANÁ</v>
      </c>
      <c r="E382" s="23" t="str">
        <f>VLOOKUP($A382,Base!B:E,4,0)</f>
        <v>25.298.788/0001-95</v>
      </c>
      <c r="F382" s="24">
        <f>VLOOKUP($A382,Base!B:F,5,0)</f>
        <v>0</v>
      </c>
      <c r="G382" s="23"/>
      <c r="H382" s="17" t="s">
        <v>13</v>
      </c>
      <c r="I382" s="19">
        <v>14.64</v>
      </c>
      <c r="J382" s="20"/>
      <c r="K382" s="21">
        <f t="shared" si="5"/>
        <v>482.03999999989003</v>
      </c>
    </row>
    <row r="383" spans="1:11" ht="12" customHeight="1" x14ac:dyDescent="0.25">
      <c r="A383" s="28">
        <v>4</v>
      </c>
      <c r="B383" s="14">
        <v>43661</v>
      </c>
      <c r="C383" s="15" t="str">
        <f>VLOOKUP(A383,Base!B:C,2,0)</f>
        <v>3.3.90.39.47 - SERVIÇO DE COMUNICAÇÃO EM GERAL</v>
      </c>
      <c r="D383" s="15" t="str">
        <f>VLOOKUP(A383,Base!B:D,3,0)</f>
        <v>DPTO DE IMPRENSA OFICIAL ESTADO DO PARANÁ</v>
      </c>
      <c r="E383" s="23" t="str">
        <f>VLOOKUP($A383,Base!B:E,4,0)</f>
        <v>76.437.383/0001-21</v>
      </c>
      <c r="F383" s="24" t="str">
        <f>VLOOKUP($A383,Base!B:F,5,0)</f>
        <v>NOTA FISCAL</v>
      </c>
      <c r="G383" s="23">
        <v>2019276012</v>
      </c>
      <c r="H383" s="17" t="s">
        <v>247</v>
      </c>
      <c r="I383" s="19"/>
      <c r="J383" s="20">
        <v>120</v>
      </c>
      <c r="K383" s="21">
        <f t="shared" si="5"/>
        <v>362.03999999989003</v>
      </c>
    </row>
    <row r="384" spans="1:11" ht="12" customHeight="1" x14ac:dyDescent="0.25">
      <c r="A384" s="28">
        <v>4</v>
      </c>
      <c r="B384" s="14">
        <v>43662</v>
      </c>
      <c r="C384" s="15" t="str">
        <f>VLOOKUP(A384,Base!B:C,2,0)</f>
        <v>3.3.90.39.47 - SERVIÇO DE COMUNICAÇÃO EM GERAL</v>
      </c>
      <c r="D384" s="15" t="str">
        <f>VLOOKUP(A384,Base!B:D,3,0)</f>
        <v>DPTO DE IMPRENSA OFICIAL ESTADO DO PARANÁ</v>
      </c>
      <c r="E384" s="23" t="str">
        <f>VLOOKUP($A384,Base!B:E,4,0)</f>
        <v>76.437.383/0001-21</v>
      </c>
      <c r="F384" s="24" t="str">
        <f>VLOOKUP($A384,Base!B:F,5,0)</f>
        <v>NOTA FISCAL</v>
      </c>
      <c r="G384" s="23">
        <v>2019276269</v>
      </c>
      <c r="H384" s="17" t="s">
        <v>248</v>
      </c>
      <c r="I384" s="19"/>
      <c r="J384" s="20">
        <v>360</v>
      </c>
      <c r="K384" s="21">
        <f t="shared" si="5"/>
        <v>2.0399999998900284</v>
      </c>
    </row>
    <row r="385" spans="1:11" ht="12" customHeight="1" x14ac:dyDescent="0.25">
      <c r="A385" s="28">
        <v>17</v>
      </c>
      <c r="B385" s="14">
        <v>43663</v>
      </c>
      <c r="C385" s="15" t="str">
        <f>VLOOKUP(A385,Base!B:C,2,0)</f>
        <v>3.3.90.39.05 - SERVIÇOS TÉCNICOS PROFISSIONAIS</v>
      </c>
      <c r="D385" s="15" t="s">
        <v>249</v>
      </c>
      <c r="E385" s="23" t="s">
        <v>250</v>
      </c>
      <c r="F385" s="24" t="str">
        <f>VLOOKUP($A385,Base!B:F,5,0)</f>
        <v>NFS-e</v>
      </c>
      <c r="G385" s="23">
        <v>108</v>
      </c>
      <c r="H385" s="17" t="s">
        <v>251</v>
      </c>
      <c r="I385" s="19"/>
      <c r="J385" s="20">
        <v>2800</v>
      </c>
      <c r="K385" s="21">
        <f t="shared" si="5"/>
        <v>-2797.9600000001101</v>
      </c>
    </row>
    <row r="386" spans="1:11" ht="12" customHeight="1" x14ac:dyDescent="0.25">
      <c r="A386" s="28">
        <v>17</v>
      </c>
      <c r="B386" s="14">
        <v>43663</v>
      </c>
      <c r="C386" s="15" t="str">
        <f>VLOOKUP(A386,Base!B:C,2,0)</f>
        <v>3.3.90.39.05 - SERVIÇOS TÉCNICOS PROFISSIONAIS</v>
      </c>
      <c r="D386" s="15" t="s">
        <v>252</v>
      </c>
      <c r="E386" s="23" t="s">
        <v>253</v>
      </c>
      <c r="F386" s="24" t="str">
        <f>VLOOKUP($A386,Base!B:F,5,0)</f>
        <v>NFS-e</v>
      </c>
      <c r="G386" s="23"/>
      <c r="H386" s="17" t="s">
        <v>251</v>
      </c>
      <c r="I386" s="19"/>
      <c r="J386" s="20">
        <v>2732.8</v>
      </c>
      <c r="K386" s="21">
        <f t="shared" si="5"/>
        <v>-5530.7600000001103</v>
      </c>
    </row>
    <row r="387" spans="1:11" ht="12" customHeight="1" x14ac:dyDescent="0.25">
      <c r="A387" s="28">
        <v>14</v>
      </c>
      <c r="B387" s="14">
        <v>43663</v>
      </c>
      <c r="C387" s="15" t="str">
        <f>VLOOKUP(A387,Base!B:C,2,0)</f>
        <v>3.3.90.39.39 - ENCARGOS FINANCEIROS INDEDUTÍVEIS</v>
      </c>
      <c r="D387" s="15" t="str">
        <f>VLOOKUP(A387,Base!B:D,3,0)</f>
        <v>BANCO DO BRASIL</v>
      </c>
      <c r="E387" s="23">
        <f>VLOOKUP($A387,Base!B:E,4,0)</f>
        <v>191</v>
      </c>
      <c r="F387" s="24" t="str">
        <f>VLOOKUP($A387,Base!B:F,5,0)</f>
        <v>AVISO DE DÉBITO</v>
      </c>
      <c r="G387" s="23"/>
      <c r="H387" s="17" t="s">
        <v>254</v>
      </c>
      <c r="I387" s="19"/>
      <c r="J387" s="20">
        <v>10.18</v>
      </c>
      <c r="K387" s="21">
        <f t="shared" ref="K387:K450" si="6">K386+I387-J387</f>
        <v>-5540.9400000001106</v>
      </c>
    </row>
    <row r="388" spans="1:11" ht="12" customHeight="1" x14ac:dyDescent="0.25">
      <c r="A388" s="28">
        <v>5</v>
      </c>
      <c r="B388" s="14">
        <v>43663</v>
      </c>
      <c r="C388" s="15" t="str">
        <f>VLOOKUP(A388,Base!B:C,2,0)</f>
        <v>RESGATE APLICAÇÃO</v>
      </c>
      <c r="D388" s="15" t="str">
        <f>VLOOKUP(A388,Base!B:D,3,0)</f>
        <v>PALCOPARANÁ</v>
      </c>
      <c r="E388" s="23" t="str">
        <f>VLOOKUP($A388,Base!B:E,4,0)</f>
        <v>25.298.788/0001-95</v>
      </c>
      <c r="F388" s="24">
        <f>VLOOKUP($A388,Base!B:F,5,0)</f>
        <v>0</v>
      </c>
      <c r="G388" s="23"/>
      <c r="H388" s="17" t="s">
        <v>13</v>
      </c>
      <c r="I388" s="19">
        <v>6000</v>
      </c>
      <c r="J388" s="20"/>
      <c r="K388" s="21">
        <f t="shared" si="6"/>
        <v>459.05999999988944</v>
      </c>
    </row>
    <row r="389" spans="1:11" ht="12" customHeight="1" x14ac:dyDescent="0.25">
      <c r="A389" s="28">
        <v>5</v>
      </c>
      <c r="B389" s="14">
        <v>43663</v>
      </c>
      <c r="C389" s="15" t="str">
        <f>VLOOKUP(A389,Base!B:C,2,0)</f>
        <v>RESGATE APLICAÇÃO</v>
      </c>
      <c r="D389" s="15" t="str">
        <f>VLOOKUP(A389,Base!B:D,3,0)</f>
        <v>PALCOPARANÁ</v>
      </c>
      <c r="E389" s="23" t="str">
        <f>VLOOKUP($A389,Base!B:E,4,0)</f>
        <v>25.298.788/0001-95</v>
      </c>
      <c r="F389" s="24">
        <f>VLOOKUP($A389,Base!B:F,5,0)</f>
        <v>0</v>
      </c>
      <c r="G389" s="23"/>
      <c r="H389" s="17" t="s">
        <v>13</v>
      </c>
      <c r="I389" s="19">
        <v>66.959999999999994</v>
      </c>
      <c r="J389" s="20"/>
      <c r="K389" s="21">
        <f t="shared" si="6"/>
        <v>526.01999999988948</v>
      </c>
    </row>
    <row r="390" spans="1:11" ht="12" customHeight="1" x14ac:dyDescent="0.25">
      <c r="A390" s="28">
        <v>16</v>
      </c>
      <c r="B390" s="14">
        <v>43665</v>
      </c>
      <c r="C390" s="15" t="str">
        <f>VLOOKUP(A390,Base!B:C,2,0)</f>
        <v>3.1.90.13.01- CONTRIBUIÇÕES PREVIDENCIÁRIAS - INSS</v>
      </c>
      <c r="D390" s="15" t="str">
        <f>VLOOKUP(A390,Base!B:D,3,0)</f>
        <v>FUNDO DO REGIME GERAL DE PREVIDENCIA SOCIAL</v>
      </c>
      <c r="E390" s="23" t="str">
        <f>VLOOKUP($A390,Base!B:E,4,0)</f>
        <v>16.727.230/0001-97</v>
      </c>
      <c r="F390" s="24" t="str">
        <f>VLOOKUP($A390,Base!B:F,5,0)</f>
        <v>GPS</v>
      </c>
      <c r="G390" s="23"/>
      <c r="H390" s="17" t="s">
        <v>255</v>
      </c>
      <c r="I390" s="19"/>
      <c r="J390" s="20">
        <v>97862.17</v>
      </c>
      <c r="K390" s="21">
        <f t="shared" si="6"/>
        <v>-97336.150000000111</v>
      </c>
    </row>
    <row r="391" spans="1:11" ht="12" customHeight="1" x14ac:dyDescent="0.25">
      <c r="A391" s="28">
        <v>15</v>
      </c>
      <c r="B391" s="14">
        <v>43665</v>
      </c>
      <c r="C391" s="15" t="str">
        <f>VLOOKUP(A391,Base!B:C,2,0)</f>
        <v>3.1.90.11.61 - VENCIMENTOS E SALÁRIOS</v>
      </c>
      <c r="D391" s="15" t="str">
        <f>VLOOKUP(A391,Base!B:D,3,0)</f>
        <v>MINISTÉRIO DA FAZENDA - UNIÃO</v>
      </c>
      <c r="E391" s="23">
        <f>VLOOKUP($A391,Base!B:E,4,0)</f>
        <v>0</v>
      </c>
      <c r="F391" s="24" t="str">
        <f>VLOOKUP($A391,Base!B:F,5,0)</f>
        <v>DARF IRRF</v>
      </c>
      <c r="G391" s="23"/>
      <c r="H391" s="17" t="s">
        <v>256</v>
      </c>
      <c r="I391" s="19"/>
      <c r="J391" s="20">
        <v>18443.62</v>
      </c>
      <c r="K391" s="21">
        <f t="shared" si="6"/>
        <v>-115779.77000000011</v>
      </c>
    </row>
    <row r="392" spans="1:11" ht="12" customHeight="1" x14ac:dyDescent="0.25">
      <c r="A392" s="28">
        <v>17</v>
      </c>
      <c r="B392" s="14">
        <v>43665</v>
      </c>
      <c r="C392" s="15" t="str">
        <f>VLOOKUP(A392,Base!B:C,2,0)</f>
        <v>3.3.90.39.05 - SERVIÇOS TÉCNICOS PROFISSIONAIS</v>
      </c>
      <c r="D392" s="15" t="s">
        <v>257</v>
      </c>
      <c r="E392" s="23" t="s">
        <v>258</v>
      </c>
      <c r="F392" s="24" t="str">
        <f>VLOOKUP($A392,Base!B:F,5,0)</f>
        <v>NFS-e</v>
      </c>
      <c r="G392" s="23"/>
      <c r="H392" s="17" t="s">
        <v>259</v>
      </c>
      <c r="I392" s="19"/>
      <c r="J392" s="20">
        <v>2447.9</v>
      </c>
      <c r="K392" s="21">
        <f t="shared" si="6"/>
        <v>-118227.6700000001</v>
      </c>
    </row>
    <row r="393" spans="1:11" ht="12" customHeight="1" x14ac:dyDescent="0.25">
      <c r="A393" s="28">
        <v>14</v>
      </c>
      <c r="B393" s="14">
        <v>43665</v>
      </c>
      <c r="C393" s="15" t="str">
        <f>VLOOKUP(A393,Base!B:C,2,0)</f>
        <v>3.3.90.39.39 - ENCARGOS FINANCEIROS INDEDUTÍVEIS</v>
      </c>
      <c r="D393" s="15" t="str">
        <f>VLOOKUP(A393,Base!B:D,3,0)</f>
        <v>BANCO DO BRASIL</v>
      </c>
      <c r="E393" s="23">
        <f>VLOOKUP($A393,Base!B:E,4,0)</f>
        <v>191</v>
      </c>
      <c r="F393" s="24" t="str">
        <f>VLOOKUP($A393,Base!B:F,5,0)</f>
        <v>AVISO DE DÉBITO</v>
      </c>
      <c r="G393" s="23"/>
      <c r="H393" s="17" t="s">
        <v>260</v>
      </c>
      <c r="I393" s="19"/>
      <c r="J393" s="20">
        <v>10.18</v>
      </c>
      <c r="K393" s="21">
        <f t="shared" si="6"/>
        <v>-118237.85000000009</v>
      </c>
    </row>
    <row r="394" spans="1:11" ht="12" customHeight="1" x14ac:dyDescent="0.25">
      <c r="A394" s="28">
        <v>5</v>
      </c>
      <c r="B394" s="14">
        <v>43665</v>
      </c>
      <c r="C394" s="15" t="str">
        <f>VLOOKUP(A394,Base!B:C,2,0)</f>
        <v>RESGATE APLICAÇÃO</v>
      </c>
      <c r="D394" s="15" t="str">
        <f>VLOOKUP(A394,Base!B:D,3,0)</f>
        <v>PALCOPARANÁ</v>
      </c>
      <c r="E394" s="23" t="str">
        <f>VLOOKUP($A394,Base!B:E,4,0)</f>
        <v>25.298.788/0001-95</v>
      </c>
      <c r="F394" s="24">
        <f>VLOOKUP($A394,Base!B:F,5,0)</f>
        <v>0</v>
      </c>
      <c r="G394" s="23"/>
      <c r="H394" s="17" t="s">
        <v>13</v>
      </c>
      <c r="I394" s="19">
        <v>118500</v>
      </c>
      <c r="J394" s="20"/>
      <c r="K394" s="21">
        <f t="shared" si="6"/>
        <v>262.14999999990687</v>
      </c>
    </row>
    <row r="395" spans="1:11" ht="12" customHeight="1" x14ac:dyDescent="0.25">
      <c r="A395" s="28">
        <v>5</v>
      </c>
      <c r="B395" s="14">
        <v>43665</v>
      </c>
      <c r="C395" s="15" t="str">
        <f>VLOOKUP(A395,Base!B:C,2,0)</f>
        <v>RESGATE APLICAÇÃO</v>
      </c>
      <c r="D395" s="15" t="str">
        <f>VLOOKUP(A395,Base!B:D,3,0)</f>
        <v>PALCOPARANÁ</v>
      </c>
      <c r="E395" s="23" t="str">
        <f>VLOOKUP($A395,Base!B:E,4,0)</f>
        <v>25.298.788/0001-95</v>
      </c>
      <c r="F395" s="24">
        <f>VLOOKUP($A395,Base!B:F,5,0)</f>
        <v>0</v>
      </c>
      <c r="G395" s="23"/>
      <c r="H395" s="17" t="s">
        <v>13</v>
      </c>
      <c r="I395" s="19">
        <v>1376.97</v>
      </c>
      <c r="J395" s="20"/>
      <c r="K395" s="21">
        <f t="shared" si="6"/>
        <v>1639.1199999999069</v>
      </c>
    </row>
    <row r="396" spans="1:11" ht="12" customHeight="1" x14ac:dyDescent="0.25">
      <c r="A396" s="28">
        <v>17</v>
      </c>
      <c r="B396" s="14">
        <v>43668</v>
      </c>
      <c r="C396" s="15" t="str">
        <f>VLOOKUP(A396,Base!B:C,2,0)</f>
        <v>3.3.90.39.05 - SERVIÇOS TÉCNICOS PROFISSIONAIS</v>
      </c>
      <c r="D396" s="15" t="s">
        <v>74</v>
      </c>
      <c r="E396" s="26" t="s">
        <v>75</v>
      </c>
      <c r="F396" s="24" t="str">
        <f>VLOOKUP($A396,Base!B:F,5,0)</f>
        <v>NFS-e</v>
      </c>
      <c r="G396" s="23">
        <v>56</v>
      </c>
      <c r="H396" s="17" t="s">
        <v>77</v>
      </c>
      <c r="I396" s="19"/>
      <c r="J396" s="20">
        <v>5890</v>
      </c>
      <c r="K396" s="21">
        <f t="shared" si="6"/>
        <v>-4250.8800000000929</v>
      </c>
    </row>
    <row r="397" spans="1:11" ht="12" customHeight="1" x14ac:dyDescent="0.25">
      <c r="A397" s="28">
        <v>9</v>
      </c>
      <c r="B397" s="14">
        <v>43668</v>
      </c>
      <c r="C397" s="15" t="str">
        <f>VLOOKUP(A397,Base!B:C,2,0)</f>
        <v>3.3.90.39.12 - LOCAÇÃO DE MÁQUINAS E EQUIPAMENTOS</v>
      </c>
      <c r="D397" s="15" t="str">
        <f>VLOOKUP(A397,Base!B:D,3,0)</f>
        <v>INTERATIVA SOLUÇÕES EM INFORMATICA LTDA</v>
      </c>
      <c r="E397" s="23" t="str">
        <f>VLOOKUP($A397,Base!B:E,4,0)</f>
        <v>04.192.385/0001-97</v>
      </c>
      <c r="F397" s="24" t="str">
        <f>VLOOKUP($A397,Base!B:F,5,0)</f>
        <v>NFS-e</v>
      </c>
      <c r="G397" s="23">
        <v>6945</v>
      </c>
      <c r="H397" s="17" t="s">
        <v>21</v>
      </c>
      <c r="I397" s="19"/>
      <c r="J397" s="20">
        <v>2585.04</v>
      </c>
      <c r="K397" s="21">
        <f t="shared" si="6"/>
        <v>-6835.9200000000928</v>
      </c>
    </row>
    <row r="398" spans="1:11" ht="12" customHeight="1" x14ac:dyDescent="0.25">
      <c r="A398" s="28">
        <v>5</v>
      </c>
      <c r="B398" s="14">
        <v>43668</v>
      </c>
      <c r="C398" s="15" t="str">
        <f>VLOOKUP(A398,Base!B:C,2,0)</f>
        <v>RESGATE APLICAÇÃO</v>
      </c>
      <c r="D398" s="15" t="str">
        <f>VLOOKUP(A398,Base!B:D,3,0)</f>
        <v>PALCOPARANÁ</v>
      </c>
      <c r="E398" s="23" t="str">
        <f>VLOOKUP($A398,Base!B:E,4,0)</f>
        <v>25.298.788/0001-95</v>
      </c>
      <c r="F398" s="24">
        <f>VLOOKUP($A398,Base!B:F,5,0)</f>
        <v>0</v>
      </c>
      <c r="G398" s="23"/>
      <c r="H398" s="17" t="s">
        <v>13</v>
      </c>
      <c r="I398" s="19">
        <v>7000</v>
      </c>
      <c r="J398" s="20"/>
      <c r="K398" s="21">
        <f t="shared" si="6"/>
        <v>164.07999999990716</v>
      </c>
    </row>
    <row r="399" spans="1:11" ht="12" customHeight="1" x14ac:dyDescent="0.25">
      <c r="A399" s="28">
        <v>5</v>
      </c>
      <c r="B399" s="14">
        <v>43668</v>
      </c>
      <c r="C399" s="15" t="str">
        <f>VLOOKUP(A399,Base!B:C,2,0)</f>
        <v>RESGATE APLICAÇÃO</v>
      </c>
      <c r="D399" s="15" t="str">
        <f>VLOOKUP(A399,Base!B:D,3,0)</f>
        <v>PALCOPARANÁ</v>
      </c>
      <c r="E399" s="23" t="str">
        <f>VLOOKUP($A399,Base!B:E,4,0)</f>
        <v>25.298.788/0001-95</v>
      </c>
      <c r="F399" s="24">
        <f>VLOOKUP($A399,Base!B:F,5,0)</f>
        <v>0</v>
      </c>
      <c r="G399" s="23"/>
      <c r="H399" s="17" t="s">
        <v>13</v>
      </c>
      <c r="I399" s="19">
        <v>83.02</v>
      </c>
      <c r="J399" s="20"/>
      <c r="K399" s="21">
        <f t="shared" si="6"/>
        <v>247.09999999990714</v>
      </c>
    </row>
    <row r="400" spans="1:11" ht="12" customHeight="1" x14ac:dyDescent="0.25">
      <c r="A400" s="28">
        <v>30</v>
      </c>
      <c r="B400" s="14">
        <v>43669</v>
      </c>
      <c r="C400" s="15" t="str">
        <f>VLOOKUP(A400,Base!B:C,2,0)</f>
        <v>3.3.90.14.03 - AJUDA DE CUSTO PARA VIAGEM</v>
      </c>
      <c r="D400" s="15" t="str">
        <f>VLOOKUP(A400,Base!B:D,3,0)</f>
        <v>COLABORADORES DIVERSOS</v>
      </c>
      <c r="E400" s="23">
        <f>VLOOKUP($A400,Base!B:E,4,0)</f>
        <v>0</v>
      </c>
      <c r="F400" s="24" t="str">
        <f>VLOOKUP($A400,Base!B:F,5,0)</f>
        <v>RECIBO</v>
      </c>
      <c r="G400" s="23"/>
      <c r="H400" s="17" t="s">
        <v>261</v>
      </c>
      <c r="I400" s="19"/>
      <c r="J400" s="20">
        <v>391</v>
      </c>
      <c r="K400" s="21">
        <f t="shared" si="6"/>
        <v>-143.90000000009286</v>
      </c>
    </row>
    <row r="401" spans="1:11" ht="12" customHeight="1" x14ac:dyDescent="0.25">
      <c r="A401" s="28">
        <v>31</v>
      </c>
      <c r="B401" s="14">
        <v>43669</v>
      </c>
      <c r="C401" s="15" t="str">
        <f>VLOOKUP(A401,Base!B:C,2,0)</f>
        <v>3.3.90.39.04 - DIREITOS AUTORAIS</v>
      </c>
      <c r="D401" s="15"/>
      <c r="E401" s="23">
        <f>VLOOKUP($A401,Base!B:E,4,0)</f>
        <v>0</v>
      </c>
      <c r="F401" s="24" t="str">
        <f>VLOOKUP($A401,Base!B:F,5,0)</f>
        <v>RECIBO</v>
      </c>
      <c r="G401" s="23"/>
      <c r="H401" s="17" t="s">
        <v>262</v>
      </c>
      <c r="I401" s="19"/>
      <c r="J401" s="20">
        <v>46</v>
      </c>
      <c r="K401" s="21">
        <f t="shared" si="6"/>
        <v>-189.90000000009286</v>
      </c>
    </row>
    <row r="402" spans="1:11" ht="12" customHeight="1" x14ac:dyDescent="0.25">
      <c r="A402" s="28">
        <v>5</v>
      </c>
      <c r="B402" s="14">
        <v>43669</v>
      </c>
      <c r="C402" s="15" t="str">
        <f>VLOOKUP(A402,Base!B:C,2,0)</f>
        <v>RESGATE APLICAÇÃO</v>
      </c>
      <c r="D402" s="15" t="str">
        <f>VLOOKUP(A402,Base!B:D,3,0)</f>
        <v>PALCOPARANÁ</v>
      </c>
      <c r="E402" s="23" t="str">
        <f>VLOOKUP($A402,Base!B:E,4,0)</f>
        <v>25.298.788/0001-95</v>
      </c>
      <c r="F402" s="24">
        <f>VLOOKUP($A402,Base!B:F,5,0)</f>
        <v>0</v>
      </c>
      <c r="G402" s="23"/>
      <c r="H402" s="17" t="s">
        <v>13</v>
      </c>
      <c r="I402" s="19">
        <v>500</v>
      </c>
      <c r="J402" s="20"/>
      <c r="K402" s="21">
        <f t="shared" si="6"/>
        <v>310.09999999990714</v>
      </c>
    </row>
    <row r="403" spans="1:11" ht="12" customHeight="1" x14ac:dyDescent="0.25">
      <c r="A403" s="28">
        <v>5</v>
      </c>
      <c r="B403" s="14">
        <v>43669</v>
      </c>
      <c r="C403" s="15" t="str">
        <f>VLOOKUP(A403,Base!B:C,2,0)</f>
        <v>RESGATE APLICAÇÃO</v>
      </c>
      <c r="D403" s="15" t="str">
        <f>VLOOKUP(A403,Base!B:D,3,0)</f>
        <v>PALCOPARANÁ</v>
      </c>
      <c r="E403" s="23" t="str">
        <f>VLOOKUP($A403,Base!B:E,4,0)</f>
        <v>25.298.788/0001-95</v>
      </c>
      <c r="F403" s="24">
        <f>VLOOKUP($A403,Base!B:F,5,0)</f>
        <v>0</v>
      </c>
      <c r="G403" s="23"/>
      <c r="H403" s="17" t="s">
        <v>13</v>
      </c>
      <c r="I403" s="19">
        <v>6.05</v>
      </c>
      <c r="J403" s="20"/>
      <c r="K403" s="21">
        <f t="shared" si="6"/>
        <v>316.14999999990715</v>
      </c>
    </row>
    <row r="404" spans="1:11" ht="12" customHeight="1" x14ac:dyDescent="0.25">
      <c r="A404" s="28">
        <v>19</v>
      </c>
      <c r="B404" s="14">
        <v>43670</v>
      </c>
      <c r="C404" s="15" t="str">
        <f>VLOOKUP(A404,Base!B:C,2,0)</f>
        <v>CRÉDITO</v>
      </c>
      <c r="D404" s="15" t="str">
        <f>VLOOKUP(A404,Base!B:D,3,0)</f>
        <v>PALCOPARANÁ</v>
      </c>
      <c r="E404" s="23" t="str">
        <f>VLOOKUP($A404,Base!B:E,4,0)</f>
        <v>25.298.788/0001-95</v>
      </c>
      <c r="F404" s="24">
        <f>VLOOKUP($A404,Base!B:F,5,0)</f>
        <v>0</v>
      </c>
      <c r="G404" s="23"/>
      <c r="H404" s="17" t="s">
        <v>64</v>
      </c>
      <c r="I404" s="19">
        <v>1800000</v>
      </c>
      <c r="J404" s="20"/>
      <c r="K404" s="21">
        <f t="shared" si="6"/>
        <v>1800316.15</v>
      </c>
    </row>
    <row r="405" spans="1:11" ht="12" customHeight="1" x14ac:dyDescent="0.25">
      <c r="A405" s="28">
        <v>23</v>
      </c>
      <c r="B405" s="14">
        <v>43670</v>
      </c>
      <c r="C405" s="15" t="str">
        <f>VLOOKUP(A405,Base!B:C,2,0)</f>
        <v>TRANSFERÊNCIA CONTA DE RESERVA</v>
      </c>
      <c r="D405" s="15" t="str">
        <f>VLOOKUP(A405,Base!B:D,3,0)</f>
        <v>PALCOPARANÁ</v>
      </c>
      <c r="E405" s="23" t="str">
        <f>VLOOKUP($A405,Base!B:E,4,0)</f>
        <v>25.298.788/0001-95</v>
      </c>
      <c r="F405" s="24">
        <f>VLOOKUP($A405,Base!B:F,5,0)</f>
        <v>0</v>
      </c>
      <c r="G405" s="23"/>
      <c r="H405" s="17" t="s">
        <v>65</v>
      </c>
      <c r="I405" s="19"/>
      <c r="J405" s="20">
        <v>90000</v>
      </c>
      <c r="K405" s="21">
        <f t="shared" si="6"/>
        <v>1710316.15</v>
      </c>
    </row>
    <row r="406" spans="1:11" ht="12" customHeight="1" x14ac:dyDescent="0.25">
      <c r="A406" s="28">
        <v>35</v>
      </c>
      <c r="B406" s="14">
        <v>43670</v>
      </c>
      <c r="C406" s="15" t="str">
        <f>VLOOKUP(A406,Base!B:C,2,0)</f>
        <v>3.3.90.39.73 - TRANSPORTE DE SERVIDORES</v>
      </c>
      <c r="D406" s="25" t="s">
        <v>263</v>
      </c>
      <c r="E406" s="26" t="s">
        <v>264</v>
      </c>
      <c r="F406" s="24" t="str">
        <f>VLOOKUP($A406,Base!B:F,5,0)</f>
        <v>NFS-e</v>
      </c>
      <c r="G406" s="23" t="s">
        <v>265</v>
      </c>
      <c r="H406" s="17" t="s">
        <v>266</v>
      </c>
      <c r="I406" s="19"/>
      <c r="J406" s="20">
        <v>14400</v>
      </c>
      <c r="K406" s="21">
        <f t="shared" si="6"/>
        <v>1695916.15</v>
      </c>
    </row>
    <row r="407" spans="1:11" ht="12" customHeight="1" x14ac:dyDescent="0.25">
      <c r="A407" s="28">
        <v>24</v>
      </c>
      <c r="B407" s="14">
        <v>43670</v>
      </c>
      <c r="C407" s="15" t="str">
        <f>VLOOKUP(A407,Base!B:C,2,0)</f>
        <v>APLICAÇÃO</v>
      </c>
      <c r="D407" s="15" t="str">
        <f>VLOOKUP(A407,Base!B:D,3,0)</f>
        <v>PALCOPARANÁ</v>
      </c>
      <c r="E407" s="23" t="str">
        <f>VLOOKUP($A407,Base!B:E,4,0)</f>
        <v>25.298.788/0001-95</v>
      </c>
      <c r="F407" s="24">
        <f>VLOOKUP($A407,Base!B:F,5,0)</f>
        <v>0</v>
      </c>
      <c r="G407" s="23"/>
      <c r="H407" s="17" t="s">
        <v>156</v>
      </c>
      <c r="I407" s="19"/>
      <c r="J407" s="20">
        <v>1500000</v>
      </c>
      <c r="K407" s="21">
        <f t="shared" si="6"/>
        <v>195916.14999999991</v>
      </c>
    </row>
    <row r="408" spans="1:11" ht="12" customHeight="1" x14ac:dyDescent="0.25">
      <c r="A408" s="28">
        <v>36</v>
      </c>
      <c r="B408" s="14">
        <v>43670</v>
      </c>
      <c r="C408" s="15" t="str">
        <f>VLOOKUP(A408,Base!B:C,2,0)</f>
        <v>3.9.90.52.42 - MOBILIÁRIO EM GERAL</v>
      </c>
      <c r="D408" s="30" t="s">
        <v>267</v>
      </c>
      <c r="E408" s="31" t="s">
        <v>268</v>
      </c>
      <c r="F408" s="24" t="str">
        <f>VLOOKUP($A408,Base!B:F,5,0)</f>
        <v>NF-e</v>
      </c>
      <c r="G408" s="23">
        <v>1680</v>
      </c>
      <c r="H408" s="17" t="s">
        <v>269</v>
      </c>
      <c r="I408" s="19"/>
      <c r="J408" s="20">
        <v>8802.84</v>
      </c>
      <c r="K408" s="21">
        <f t="shared" si="6"/>
        <v>187113.30999999991</v>
      </c>
    </row>
    <row r="409" spans="1:11" ht="12" customHeight="1" x14ac:dyDescent="0.25">
      <c r="A409" s="28">
        <v>32</v>
      </c>
      <c r="B409" s="14">
        <v>43670</v>
      </c>
      <c r="C409" s="15" t="str">
        <f>VLOOKUP(A409,Base!B:C,2,0)</f>
        <v>3.3.90.39.48 - SERVIÇO DE SELEÇÃO E TREINAMENTO</v>
      </c>
      <c r="D409" s="30" t="s">
        <v>270</v>
      </c>
      <c r="E409" s="31" t="s">
        <v>271</v>
      </c>
      <c r="F409" s="24" t="str">
        <f>VLOOKUP($A409,Base!B:F,5,0)</f>
        <v>NFS-e</v>
      </c>
      <c r="G409" s="23">
        <v>2</v>
      </c>
      <c r="H409" s="17" t="s">
        <v>272</v>
      </c>
      <c r="I409" s="19"/>
      <c r="J409" s="20">
        <v>1980</v>
      </c>
      <c r="K409" s="21">
        <f t="shared" si="6"/>
        <v>185133.30999999991</v>
      </c>
    </row>
    <row r="410" spans="1:11" ht="12" customHeight="1" x14ac:dyDescent="0.25">
      <c r="A410" s="28">
        <v>14</v>
      </c>
      <c r="B410" s="14">
        <v>43670</v>
      </c>
      <c r="C410" s="15" t="str">
        <f>VLOOKUP(A410,Base!B:C,2,0)</f>
        <v>3.3.90.39.39 - ENCARGOS FINANCEIROS INDEDUTÍVEIS</v>
      </c>
      <c r="D410" s="15" t="str">
        <f>VLOOKUP(A410,Base!B:D,3,0)</f>
        <v>BANCO DO BRASIL</v>
      </c>
      <c r="E410" s="23">
        <f>VLOOKUP($A410,Base!B:E,4,0)</f>
        <v>191</v>
      </c>
      <c r="F410" s="24" t="str">
        <f>VLOOKUP($A410,Base!B:F,5,0)</f>
        <v>AVISO DE DÉBITO</v>
      </c>
      <c r="G410" s="23"/>
      <c r="H410" s="17" t="s">
        <v>273</v>
      </c>
      <c r="I410" s="19"/>
      <c r="J410" s="20">
        <v>10.18</v>
      </c>
      <c r="K410" s="21">
        <f t="shared" si="6"/>
        <v>185123.12999999992</v>
      </c>
    </row>
    <row r="411" spans="1:11" ht="12" customHeight="1" x14ac:dyDescent="0.25">
      <c r="A411" s="28">
        <v>20</v>
      </c>
      <c r="B411" s="14">
        <v>43671</v>
      </c>
      <c r="C411" s="15" t="str">
        <f>VLOOKUP(A411,Base!B:C,2,0)</f>
        <v>3.1.90.47.01 - PIS/PASEP</v>
      </c>
      <c r="D411" s="15" t="str">
        <f>VLOOKUP(A411,Base!B:D,3,0)</f>
        <v>MINISTÉRIO DA FAZENDA - UNIÃO</v>
      </c>
      <c r="E411" s="23" t="str">
        <f>VLOOKUP($A411,Base!B:E,4,0)</f>
        <v>25.298.788/0001-95 -8301</v>
      </c>
      <c r="F411" s="24" t="str">
        <f>VLOOKUP($A411,Base!B:F,5,0)</f>
        <v>DARF PIS</v>
      </c>
      <c r="G411" s="23"/>
      <c r="H411" s="17" t="s">
        <v>274</v>
      </c>
      <c r="I411" s="19"/>
      <c r="J411" s="20">
        <v>2643.71</v>
      </c>
      <c r="K411" s="21">
        <f t="shared" si="6"/>
        <v>182479.41999999993</v>
      </c>
    </row>
    <row r="412" spans="1:11" ht="12" customHeight="1" x14ac:dyDescent="0.25">
      <c r="A412" s="28">
        <v>31</v>
      </c>
      <c r="B412" s="14">
        <v>43671</v>
      </c>
      <c r="C412" s="15" t="str">
        <f>VLOOKUP(A412,Base!B:C,2,0)</f>
        <v>3.3.90.39.04 - DIREITOS AUTORAIS</v>
      </c>
      <c r="D412" s="15" t="s">
        <v>36</v>
      </c>
      <c r="E412" s="23" t="s">
        <v>37</v>
      </c>
      <c r="F412" s="24" t="str">
        <f>VLOOKUP($A412,Base!B:F,5,0)</f>
        <v>RECIBO</v>
      </c>
      <c r="G412" s="23" t="s">
        <v>275</v>
      </c>
      <c r="H412" s="17" t="s">
        <v>276</v>
      </c>
      <c r="I412" s="19"/>
      <c r="J412" s="20">
        <v>23</v>
      </c>
      <c r="K412" s="21">
        <f t="shared" si="6"/>
        <v>182456.41999999993</v>
      </c>
    </row>
    <row r="413" spans="1:11" ht="12" customHeight="1" x14ac:dyDescent="0.25">
      <c r="A413" s="28">
        <v>31</v>
      </c>
      <c r="B413" s="14">
        <v>43671</v>
      </c>
      <c r="C413" s="15" t="str">
        <f>VLOOKUP(A413,Base!B:C,2,0)</f>
        <v>3.3.90.39.04 - DIREITOS AUTORAIS</v>
      </c>
      <c r="D413" s="15" t="s">
        <v>33</v>
      </c>
      <c r="E413" s="23" t="s">
        <v>34</v>
      </c>
      <c r="F413" s="24" t="str">
        <f>VLOOKUP($A413,Base!B:F,5,0)</f>
        <v>RECIBO</v>
      </c>
      <c r="G413" s="23" t="s">
        <v>277</v>
      </c>
      <c r="H413" s="17" t="s">
        <v>276</v>
      </c>
      <c r="I413" s="19"/>
      <c r="J413" s="20">
        <v>23</v>
      </c>
      <c r="K413" s="21">
        <f t="shared" si="6"/>
        <v>182433.41999999993</v>
      </c>
    </row>
    <row r="414" spans="1:11" ht="12" customHeight="1" x14ac:dyDescent="0.25">
      <c r="A414" s="28">
        <v>31</v>
      </c>
      <c r="B414" s="14">
        <v>43671</v>
      </c>
      <c r="C414" s="15" t="str">
        <f>VLOOKUP(A414,Base!B:C,2,0)</f>
        <v>3.3.90.39.04 - DIREITOS AUTORAIS</v>
      </c>
      <c r="D414" s="15" t="s">
        <v>68</v>
      </c>
      <c r="E414" s="23" t="s">
        <v>69</v>
      </c>
      <c r="F414" s="24" t="str">
        <f>VLOOKUP($A414,Base!B:F,5,0)</f>
        <v>RECIBO</v>
      </c>
      <c r="G414" s="23" t="s">
        <v>278</v>
      </c>
      <c r="H414" s="17" t="s">
        <v>276</v>
      </c>
      <c r="I414" s="19"/>
      <c r="J414" s="20">
        <v>23</v>
      </c>
      <c r="K414" s="21">
        <f t="shared" si="6"/>
        <v>182410.41999999993</v>
      </c>
    </row>
    <row r="415" spans="1:11" ht="12" customHeight="1" x14ac:dyDescent="0.25">
      <c r="A415" s="28">
        <v>14</v>
      </c>
      <c r="B415" s="14">
        <v>43671</v>
      </c>
      <c r="C415" s="15" t="str">
        <f>VLOOKUP(A415,Base!B:C,2,0)</f>
        <v>3.3.90.39.39 - ENCARGOS FINANCEIROS INDEDUTÍVEIS</v>
      </c>
      <c r="D415" s="15" t="str">
        <f>VLOOKUP(A415,Base!B:D,3,0)</f>
        <v>BANCO DO BRASIL</v>
      </c>
      <c r="E415" s="23">
        <f>VLOOKUP($A415,Base!B:E,4,0)</f>
        <v>191</v>
      </c>
      <c r="F415" s="24" t="str">
        <f>VLOOKUP($A415,Base!B:F,5,0)</f>
        <v>AVISO DE DÉBITO</v>
      </c>
      <c r="G415" s="23"/>
      <c r="H415" s="17" t="s">
        <v>279</v>
      </c>
      <c r="I415" s="19"/>
      <c r="J415" s="20">
        <v>10.18</v>
      </c>
      <c r="K415" s="21">
        <f t="shared" si="6"/>
        <v>182400.23999999993</v>
      </c>
    </row>
    <row r="416" spans="1:11" ht="12" customHeight="1" x14ac:dyDescent="0.25">
      <c r="A416" s="28">
        <v>14</v>
      </c>
      <c r="B416" s="14">
        <v>43671</v>
      </c>
      <c r="C416" s="15" t="str">
        <f>VLOOKUP(A416,Base!B:C,2,0)</f>
        <v>3.3.90.39.39 - ENCARGOS FINANCEIROS INDEDUTÍVEIS</v>
      </c>
      <c r="D416" s="15" t="str">
        <f>VLOOKUP(A416,Base!B:D,3,0)</f>
        <v>BANCO DO BRASIL</v>
      </c>
      <c r="E416" s="23">
        <f>VLOOKUP($A416,Base!B:E,4,0)</f>
        <v>191</v>
      </c>
      <c r="F416" s="24" t="str">
        <f>VLOOKUP($A416,Base!B:F,5,0)</f>
        <v>AVISO DE DÉBITO</v>
      </c>
      <c r="G416" s="23"/>
      <c r="H416" s="17" t="s">
        <v>279</v>
      </c>
      <c r="I416" s="19"/>
      <c r="J416" s="20">
        <v>10.18</v>
      </c>
      <c r="K416" s="21">
        <f t="shared" si="6"/>
        <v>182390.05999999994</v>
      </c>
    </row>
    <row r="417" spans="1:11" ht="12" customHeight="1" x14ac:dyDescent="0.25">
      <c r="A417" s="28">
        <v>14</v>
      </c>
      <c r="B417" s="14">
        <v>43671</v>
      </c>
      <c r="C417" s="15" t="str">
        <f>VLOOKUP(A417,Base!B:C,2,0)</f>
        <v>3.3.90.39.39 - ENCARGOS FINANCEIROS INDEDUTÍVEIS</v>
      </c>
      <c r="D417" s="15" t="str">
        <f>VLOOKUP(A417,Base!B:D,3,0)</f>
        <v>BANCO DO BRASIL</v>
      </c>
      <c r="E417" s="23">
        <f>VLOOKUP($A417,Base!B:E,4,0)</f>
        <v>191</v>
      </c>
      <c r="F417" s="24" t="str">
        <f>VLOOKUP($A417,Base!B:F,5,0)</f>
        <v>AVISO DE DÉBITO</v>
      </c>
      <c r="G417" s="23"/>
      <c r="H417" s="17" t="s">
        <v>279</v>
      </c>
      <c r="I417" s="19"/>
      <c r="J417" s="20">
        <v>10.18</v>
      </c>
      <c r="K417" s="21">
        <f t="shared" si="6"/>
        <v>182379.87999999995</v>
      </c>
    </row>
    <row r="418" spans="1:11" ht="12" customHeight="1" x14ac:dyDescent="0.25">
      <c r="A418" s="28">
        <v>30</v>
      </c>
      <c r="B418" s="14">
        <v>43675</v>
      </c>
      <c r="C418" s="15" t="str">
        <f>VLOOKUP(A418,Base!B:C,2,0)</f>
        <v>3.3.90.14.03 - AJUDA DE CUSTO PARA VIAGEM</v>
      </c>
      <c r="D418" s="15" t="str">
        <f>VLOOKUP(A418,Base!B:D,3,0)</f>
        <v>COLABORADORES DIVERSOS</v>
      </c>
      <c r="E418" s="23">
        <f>VLOOKUP($A418,Base!B:E,4,0)</f>
        <v>0</v>
      </c>
      <c r="F418" s="24" t="str">
        <f>VLOOKUP($A418,Base!B:F,5,0)</f>
        <v>RECIBO</v>
      </c>
      <c r="G418" s="23"/>
      <c r="H418" s="17" t="s">
        <v>280</v>
      </c>
      <c r="I418" s="19"/>
      <c r="J418" s="20">
        <v>4634</v>
      </c>
      <c r="K418" s="21">
        <f t="shared" si="6"/>
        <v>177745.87999999995</v>
      </c>
    </row>
    <row r="419" spans="1:11" ht="12" customHeight="1" x14ac:dyDescent="0.25">
      <c r="A419" s="28">
        <v>31</v>
      </c>
      <c r="B419" s="14">
        <v>43675</v>
      </c>
      <c r="C419" s="15" t="str">
        <f>VLOOKUP(A419,Base!B:C,2,0)</f>
        <v>3.3.90.39.04 - DIREITOS AUTORAIS</v>
      </c>
      <c r="D419" s="15" t="s">
        <v>57</v>
      </c>
      <c r="E419" s="23" t="s">
        <v>58</v>
      </c>
      <c r="F419" s="24" t="str">
        <f>VLOOKUP($A419,Base!B:F,5,0)</f>
        <v>RECIBO</v>
      </c>
      <c r="G419" s="23"/>
      <c r="H419" s="17" t="s">
        <v>280</v>
      </c>
      <c r="I419" s="19"/>
      <c r="J419" s="20">
        <v>278</v>
      </c>
      <c r="K419" s="21">
        <f t="shared" si="6"/>
        <v>177467.87999999995</v>
      </c>
    </row>
    <row r="420" spans="1:11" ht="12" customHeight="1" x14ac:dyDescent="0.25">
      <c r="A420" s="28">
        <v>31</v>
      </c>
      <c r="B420" s="14">
        <v>43675</v>
      </c>
      <c r="C420" s="15" t="str">
        <f>VLOOKUP(A420,Base!B:C,2,0)</f>
        <v>3.3.90.39.04 - DIREITOS AUTORAIS</v>
      </c>
      <c r="D420" s="15" t="s">
        <v>60</v>
      </c>
      <c r="E420" s="23" t="s">
        <v>61</v>
      </c>
      <c r="F420" s="24" t="str">
        <f>VLOOKUP($A420,Base!B:F,5,0)</f>
        <v>RECIBO</v>
      </c>
      <c r="G420" s="23"/>
      <c r="H420" s="17" t="s">
        <v>280</v>
      </c>
      <c r="I420" s="19"/>
      <c r="J420" s="20">
        <v>186</v>
      </c>
      <c r="K420" s="21">
        <f t="shared" si="6"/>
        <v>177281.87999999995</v>
      </c>
    </row>
    <row r="421" spans="1:11" ht="12" customHeight="1" x14ac:dyDescent="0.25">
      <c r="A421" s="28">
        <v>30</v>
      </c>
      <c r="B421" s="14">
        <v>43675</v>
      </c>
      <c r="C421" s="15" t="str">
        <f>VLOOKUP(A421,Base!B:C,2,0)</f>
        <v>3.3.90.14.03 - AJUDA DE CUSTO PARA VIAGEM</v>
      </c>
      <c r="D421" s="15" t="str">
        <f>VLOOKUP(A421,Base!B:D,3,0)</f>
        <v>COLABORADORES DIVERSOS</v>
      </c>
      <c r="E421" s="23">
        <f>VLOOKUP($A421,Base!B:E,4,0)</f>
        <v>0</v>
      </c>
      <c r="F421" s="24" t="str">
        <f>VLOOKUP($A421,Base!B:F,5,0)</f>
        <v>RECIBO</v>
      </c>
      <c r="G421" s="23"/>
      <c r="H421" s="17" t="s">
        <v>281</v>
      </c>
      <c r="I421" s="19"/>
      <c r="J421" s="20">
        <v>1173</v>
      </c>
      <c r="K421" s="21">
        <f t="shared" si="6"/>
        <v>176108.87999999995</v>
      </c>
    </row>
    <row r="422" spans="1:11" ht="12" customHeight="1" x14ac:dyDescent="0.25">
      <c r="A422" s="28">
        <v>31</v>
      </c>
      <c r="B422" s="14">
        <v>43675</v>
      </c>
      <c r="C422" s="15" t="str">
        <f>VLOOKUP(A422,Base!B:C,2,0)</f>
        <v>3.3.90.39.04 - DIREITOS AUTORAIS</v>
      </c>
      <c r="D422" s="15"/>
      <c r="E422" s="23">
        <f>VLOOKUP($A422,Base!B:E,4,0)</f>
        <v>0</v>
      </c>
      <c r="F422" s="24" t="str">
        <f>VLOOKUP($A422,Base!B:F,5,0)</f>
        <v>RECIBO</v>
      </c>
      <c r="G422" s="23"/>
      <c r="H422" s="17" t="s">
        <v>282</v>
      </c>
      <c r="I422" s="19"/>
      <c r="J422" s="20">
        <v>138</v>
      </c>
      <c r="K422" s="21">
        <f t="shared" si="6"/>
        <v>175970.87999999995</v>
      </c>
    </row>
    <row r="423" spans="1:11" ht="12" customHeight="1" x14ac:dyDescent="0.25">
      <c r="A423" s="28">
        <v>13</v>
      </c>
      <c r="B423" s="14">
        <v>43676</v>
      </c>
      <c r="C423" s="15" t="str">
        <f>VLOOKUP(A423,Base!B:C,2,0)</f>
        <v>3.1.90.46.03 - AUXÍLIO-ALIMENTAÇÃO</v>
      </c>
      <c r="D423" s="15"/>
      <c r="E423" s="23">
        <f>VLOOKUP($A423,Base!B:E,4,0)</f>
        <v>0</v>
      </c>
      <c r="F423" s="24" t="str">
        <f>VLOOKUP($A423,Base!B:F,5,0)</f>
        <v>RECIBO</v>
      </c>
      <c r="G423" s="23"/>
      <c r="H423" s="17" t="s">
        <v>283</v>
      </c>
      <c r="I423" s="19"/>
      <c r="J423" s="20">
        <v>928</v>
      </c>
      <c r="K423" s="21">
        <f t="shared" si="6"/>
        <v>175042.87999999995</v>
      </c>
    </row>
    <row r="424" spans="1:11" ht="12" customHeight="1" x14ac:dyDescent="0.25">
      <c r="A424" s="28">
        <v>1</v>
      </c>
      <c r="B424" s="14">
        <v>43676</v>
      </c>
      <c r="C424" s="15" t="str">
        <f>VLOOKUP(A424,Base!B:C,2,0)</f>
        <v>3.1.90.11.61 - VENCIMENTOS E SALÁRIOS</v>
      </c>
      <c r="D424" s="15" t="str">
        <f>VLOOKUP(A424,Base!B:D,3,0)</f>
        <v>COLABORADORES DIVERSOS</v>
      </c>
      <c r="E424" s="23">
        <f>VLOOKUP($A424,Base!B:E,4,0)</f>
        <v>0</v>
      </c>
      <c r="F424" s="24" t="str">
        <f>VLOOKUP($A424,Base!B:F,5,0)</f>
        <v>HOLERITE</v>
      </c>
      <c r="G424" s="23"/>
      <c r="H424" s="17" t="s">
        <v>284</v>
      </c>
      <c r="I424" s="19"/>
      <c r="J424" s="20">
        <v>200650.97</v>
      </c>
      <c r="K424" s="21">
        <f t="shared" si="6"/>
        <v>-25608.090000000055</v>
      </c>
    </row>
    <row r="425" spans="1:11" ht="12" customHeight="1" x14ac:dyDescent="0.25">
      <c r="A425" s="28">
        <v>6</v>
      </c>
      <c r="B425" s="14">
        <v>43676</v>
      </c>
      <c r="C425" s="15" t="str">
        <f>VLOOKUP(A425,Base!B:C,2,0)</f>
        <v>3.1.90.11.61 - VENCIMENTOS E SALÁRIOS</v>
      </c>
      <c r="D425" s="15" t="s">
        <v>187</v>
      </c>
      <c r="E425" s="23" t="s">
        <v>188</v>
      </c>
      <c r="F425" s="24" t="str">
        <f>VLOOKUP($A425,Base!B:F,5,0)</f>
        <v>HOLERITE</v>
      </c>
      <c r="G425" s="23"/>
      <c r="H425" s="17" t="s">
        <v>285</v>
      </c>
      <c r="I425" s="19"/>
      <c r="J425" s="20">
        <v>2965.75</v>
      </c>
      <c r="K425" s="21">
        <f t="shared" si="6"/>
        <v>-28573.840000000055</v>
      </c>
    </row>
    <row r="426" spans="1:11" ht="12" customHeight="1" x14ac:dyDescent="0.25">
      <c r="A426" s="28">
        <v>3</v>
      </c>
      <c r="B426" s="14">
        <v>43676</v>
      </c>
      <c r="C426" s="15" t="str">
        <f>VLOOKUP(A426,Base!B:C,2,0)</f>
        <v>3.1.90.46.03 - AUXÍLIO-ALIMENTAÇÃO</v>
      </c>
      <c r="D426" s="15" t="str">
        <f>VLOOKUP(A426,Base!B:D,3,0)</f>
        <v>COLABORADORES DIVERSOS</v>
      </c>
      <c r="E426" s="23">
        <f>VLOOKUP($A426,Base!B:E,4,0)</f>
        <v>0</v>
      </c>
      <c r="F426" s="24" t="str">
        <f>VLOOKUP($A426,Base!B:F,5,0)</f>
        <v>RECIBO</v>
      </c>
      <c r="G426" s="23"/>
      <c r="H426" s="17" t="s">
        <v>286</v>
      </c>
      <c r="I426" s="19"/>
      <c r="J426" s="20">
        <v>7760</v>
      </c>
      <c r="K426" s="21">
        <f t="shared" si="6"/>
        <v>-36333.840000000055</v>
      </c>
    </row>
    <row r="427" spans="1:11" ht="12" customHeight="1" x14ac:dyDescent="0.25">
      <c r="A427" s="28">
        <v>6</v>
      </c>
      <c r="B427" s="14">
        <v>43676</v>
      </c>
      <c r="C427" s="15" t="str">
        <f>VLOOKUP(A427,Base!B:C,2,0)</f>
        <v>3.1.90.11.61 - VENCIMENTOS E SALÁRIOS</v>
      </c>
      <c r="D427" s="15" t="s">
        <v>287</v>
      </c>
      <c r="E427" s="23" t="s">
        <v>288</v>
      </c>
      <c r="F427" s="24" t="str">
        <f>VLOOKUP($A427,Base!B:F,5,0)</f>
        <v>HOLERITE</v>
      </c>
      <c r="G427" s="23"/>
      <c r="H427" s="17" t="s">
        <v>289</v>
      </c>
      <c r="I427" s="19"/>
      <c r="J427" s="20">
        <v>10955.16</v>
      </c>
      <c r="K427" s="21">
        <f t="shared" si="6"/>
        <v>-47289.000000000058</v>
      </c>
    </row>
    <row r="428" spans="1:11" ht="12" customHeight="1" x14ac:dyDescent="0.25">
      <c r="A428" s="28">
        <v>14</v>
      </c>
      <c r="B428" s="14">
        <v>43676</v>
      </c>
      <c r="C428" s="15" t="str">
        <f>VLOOKUP(A428,Base!B:C,2,0)</f>
        <v>3.3.90.39.39 - ENCARGOS FINANCEIROS INDEDUTÍVEIS</v>
      </c>
      <c r="D428" s="15" t="str">
        <f>VLOOKUP(A428,Base!B:D,3,0)</f>
        <v>BANCO DO BRASIL</v>
      </c>
      <c r="E428" s="23">
        <f>VLOOKUP($A428,Base!B:E,4,0)</f>
        <v>191</v>
      </c>
      <c r="F428" s="24" t="str">
        <f>VLOOKUP($A428,Base!B:F,5,0)</f>
        <v>AVISO DE DÉBITO</v>
      </c>
      <c r="G428" s="23"/>
      <c r="H428" s="17" t="s">
        <v>237</v>
      </c>
      <c r="I428" s="19"/>
      <c r="J428" s="20">
        <v>17.100000000000001</v>
      </c>
      <c r="K428" s="21">
        <f t="shared" si="6"/>
        <v>-47306.100000000057</v>
      </c>
    </row>
    <row r="429" spans="1:11" ht="12" customHeight="1" x14ac:dyDescent="0.25">
      <c r="A429" s="28">
        <v>14</v>
      </c>
      <c r="B429" s="14">
        <v>43676</v>
      </c>
      <c r="C429" s="15" t="str">
        <f>VLOOKUP(A429,Base!B:C,2,0)</f>
        <v>3.3.90.39.39 - ENCARGOS FINANCEIROS INDEDUTÍVEIS</v>
      </c>
      <c r="D429" s="15" t="str">
        <f>VLOOKUP(A429,Base!B:D,3,0)</f>
        <v>BANCO DO BRASIL</v>
      </c>
      <c r="E429" s="23">
        <f>VLOOKUP($A429,Base!B:E,4,0)</f>
        <v>191</v>
      </c>
      <c r="F429" s="24" t="str">
        <f>VLOOKUP($A429,Base!B:F,5,0)</f>
        <v>AVISO DE DÉBITO</v>
      </c>
      <c r="G429" s="23"/>
      <c r="H429" s="17" t="s">
        <v>279</v>
      </c>
      <c r="I429" s="19"/>
      <c r="J429" s="20">
        <v>11.4</v>
      </c>
      <c r="K429" s="21">
        <f t="shared" si="6"/>
        <v>-47317.500000000058</v>
      </c>
    </row>
    <row r="430" spans="1:11" ht="12" customHeight="1" x14ac:dyDescent="0.25">
      <c r="A430" s="28">
        <v>14</v>
      </c>
      <c r="B430" s="14">
        <v>43676</v>
      </c>
      <c r="C430" s="15" t="str">
        <f>VLOOKUP(A430,Base!B:C,2,0)</f>
        <v>3.3.90.39.39 - ENCARGOS FINANCEIROS INDEDUTÍVEIS</v>
      </c>
      <c r="D430" s="15" t="str">
        <f>VLOOKUP(A430,Base!B:D,3,0)</f>
        <v>BANCO DO BRASIL</v>
      </c>
      <c r="E430" s="23">
        <f>VLOOKUP($A430,Base!B:E,4,0)</f>
        <v>191</v>
      </c>
      <c r="F430" s="24" t="str">
        <f>VLOOKUP($A430,Base!B:F,5,0)</f>
        <v>AVISO DE DÉBITO</v>
      </c>
      <c r="G430" s="23"/>
      <c r="H430" s="17" t="s">
        <v>279</v>
      </c>
      <c r="I430" s="19"/>
      <c r="J430" s="20">
        <v>11.4</v>
      </c>
      <c r="K430" s="21">
        <f t="shared" si="6"/>
        <v>-47328.90000000006</v>
      </c>
    </row>
    <row r="431" spans="1:11" ht="12" customHeight="1" x14ac:dyDescent="0.25">
      <c r="A431" s="28">
        <v>5</v>
      </c>
      <c r="B431" s="14">
        <v>43676</v>
      </c>
      <c r="C431" s="15" t="str">
        <f>VLOOKUP(A431,Base!B:C,2,0)</f>
        <v>RESGATE APLICAÇÃO</v>
      </c>
      <c r="D431" s="15" t="str">
        <f>VLOOKUP(A431,Base!B:D,3,0)</f>
        <v>PALCOPARANÁ</v>
      </c>
      <c r="E431" s="23" t="str">
        <f>VLOOKUP($A431,Base!B:E,4,0)</f>
        <v>25.298.788/0001-95</v>
      </c>
      <c r="F431" s="24">
        <f>VLOOKUP($A431,Base!B:F,5,0)</f>
        <v>0</v>
      </c>
      <c r="G431" s="23"/>
      <c r="H431" s="17" t="s">
        <v>13</v>
      </c>
      <c r="I431" s="19">
        <v>47500</v>
      </c>
      <c r="J431" s="20"/>
      <c r="K431" s="21">
        <f t="shared" si="6"/>
        <v>171.09999999994034</v>
      </c>
    </row>
    <row r="432" spans="1:11" ht="12" customHeight="1" x14ac:dyDescent="0.25">
      <c r="A432" s="28">
        <v>5</v>
      </c>
      <c r="B432" s="14">
        <v>43676</v>
      </c>
      <c r="C432" s="15" t="str">
        <f>VLOOKUP(A432,Base!B:C,2,0)</f>
        <v>RESGATE APLICAÇÃO</v>
      </c>
      <c r="D432" s="15" t="str">
        <f>VLOOKUP(A432,Base!B:D,3,0)</f>
        <v>PALCOPARANÁ</v>
      </c>
      <c r="E432" s="23" t="str">
        <f>VLOOKUP($A432,Base!B:E,4,0)</f>
        <v>25.298.788/0001-95</v>
      </c>
      <c r="F432" s="24">
        <f>VLOOKUP($A432,Base!B:F,5,0)</f>
        <v>0</v>
      </c>
      <c r="G432" s="23"/>
      <c r="H432" s="17" t="s">
        <v>13</v>
      </c>
      <c r="I432" s="19">
        <v>629.85</v>
      </c>
      <c r="J432" s="20"/>
      <c r="K432" s="21">
        <f t="shared" si="6"/>
        <v>800.94999999994036</v>
      </c>
    </row>
    <row r="433" spans="1:11" ht="12" customHeight="1" x14ac:dyDescent="0.25">
      <c r="A433" s="28">
        <v>31</v>
      </c>
      <c r="B433" s="14">
        <v>43677</v>
      </c>
      <c r="C433" s="15" t="str">
        <f>VLOOKUP(A433,Base!B:C,2,0)</f>
        <v>3.3.90.39.04 - DIREITOS AUTORAIS</v>
      </c>
      <c r="D433" s="15" t="s">
        <v>68</v>
      </c>
      <c r="E433" s="23" t="s">
        <v>69</v>
      </c>
      <c r="F433" s="24" t="str">
        <f>VLOOKUP($A433,Base!B:F,5,0)</f>
        <v>RECIBO</v>
      </c>
      <c r="G433" s="23" t="s">
        <v>290</v>
      </c>
      <c r="H433" s="17" t="s">
        <v>281</v>
      </c>
      <c r="I433" s="19"/>
      <c r="J433" s="20">
        <v>69</v>
      </c>
      <c r="K433" s="21">
        <f t="shared" si="6"/>
        <v>731.94999999994036</v>
      </c>
    </row>
    <row r="434" spans="1:11" ht="12" customHeight="1" x14ac:dyDescent="0.25">
      <c r="A434" s="28">
        <v>31</v>
      </c>
      <c r="B434" s="14">
        <v>43677</v>
      </c>
      <c r="C434" s="15" t="str">
        <f>VLOOKUP(A434,Base!B:C,2,0)</f>
        <v>3.3.90.39.04 - DIREITOS AUTORAIS</v>
      </c>
      <c r="D434" s="15" t="s">
        <v>36</v>
      </c>
      <c r="E434" s="23" t="s">
        <v>37</v>
      </c>
      <c r="F434" s="24" t="str">
        <f>VLOOKUP($A434,Base!B:F,5,0)</f>
        <v>RECIBO</v>
      </c>
      <c r="G434" s="23" t="s">
        <v>291</v>
      </c>
      <c r="H434" s="17" t="s">
        <v>281</v>
      </c>
      <c r="I434" s="19"/>
      <c r="J434" s="20">
        <v>69</v>
      </c>
      <c r="K434" s="21">
        <f t="shared" si="6"/>
        <v>662.94999999994036</v>
      </c>
    </row>
    <row r="435" spans="1:11" ht="12" customHeight="1" x14ac:dyDescent="0.25">
      <c r="A435" s="28">
        <v>31</v>
      </c>
      <c r="B435" s="14">
        <v>43677</v>
      </c>
      <c r="C435" s="15" t="str">
        <f>VLOOKUP(A435,Base!B:C,2,0)</f>
        <v>3.3.90.39.04 - DIREITOS AUTORAIS</v>
      </c>
      <c r="D435" s="15" t="s">
        <v>36</v>
      </c>
      <c r="E435" s="23" t="s">
        <v>37</v>
      </c>
      <c r="F435" s="24" t="str">
        <f>VLOOKUP($A435,Base!B:F,5,0)</f>
        <v>RECIBO</v>
      </c>
      <c r="G435" s="23" t="s">
        <v>292</v>
      </c>
      <c r="H435" s="17" t="s">
        <v>280</v>
      </c>
      <c r="I435" s="19"/>
      <c r="J435" s="20">
        <v>186</v>
      </c>
      <c r="K435" s="21">
        <f t="shared" si="6"/>
        <v>476.94999999994036</v>
      </c>
    </row>
    <row r="436" spans="1:11" ht="12" customHeight="1" x14ac:dyDescent="0.25">
      <c r="A436" s="28">
        <v>31</v>
      </c>
      <c r="B436" s="14">
        <v>43677</v>
      </c>
      <c r="C436" s="15" t="str">
        <f>VLOOKUP(A436,Base!B:C,2,0)</f>
        <v>3.3.90.39.04 - DIREITOS AUTORAIS</v>
      </c>
      <c r="D436" s="15" t="s">
        <v>33</v>
      </c>
      <c r="E436" s="23" t="s">
        <v>34</v>
      </c>
      <c r="F436" s="24" t="str">
        <f>VLOOKUP($A436,Base!B:F,5,0)</f>
        <v>RECIBO</v>
      </c>
      <c r="G436" s="23" t="s">
        <v>292</v>
      </c>
      <c r="H436" s="17" t="s">
        <v>280</v>
      </c>
      <c r="I436" s="19"/>
      <c r="J436" s="20">
        <v>186</v>
      </c>
      <c r="K436" s="21">
        <f t="shared" si="6"/>
        <v>290.94999999994036</v>
      </c>
    </row>
    <row r="437" spans="1:11" ht="12" customHeight="1" x14ac:dyDescent="0.25">
      <c r="A437" s="28">
        <v>31</v>
      </c>
      <c r="B437" s="14">
        <v>43677</v>
      </c>
      <c r="C437" s="15" t="str">
        <f>VLOOKUP(A437,Base!B:C,2,0)</f>
        <v>3.3.90.39.04 - DIREITOS AUTORAIS</v>
      </c>
      <c r="D437" s="15" t="s">
        <v>68</v>
      </c>
      <c r="E437" s="23" t="s">
        <v>69</v>
      </c>
      <c r="F437" s="24" t="str">
        <f>VLOOKUP($A437,Base!B:F,5,0)</f>
        <v>RECIBO</v>
      </c>
      <c r="G437" s="23" t="s">
        <v>293</v>
      </c>
      <c r="H437" s="17" t="s">
        <v>280</v>
      </c>
      <c r="I437" s="19"/>
      <c r="J437" s="20">
        <v>278</v>
      </c>
      <c r="K437" s="21">
        <f t="shared" si="6"/>
        <v>12.94999999994036</v>
      </c>
    </row>
    <row r="438" spans="1:11" ht="12" customHeight="1" x14ac:dyDescent="0.25">
      <c r="A438" s="28">
        <v>14</v>
      </c>
      <c r="B438" s="14">
        <v>43677</v>
      </c>
      <c r="C438" s="15" t="str">
        <f>VLOOKUP(A438,Base!B:C,2,0)</f>
        <v>3.3.90.39.39 - ENCARGOS FINANCEIROS INDEDUTÍVEIS</v>
      </c>
      <c r="D438" s="15" t="str">
        <f>VLOOKUP(A438,Base!B:D,3,0)</f>
        <v>BANCO DO BRASIL</v>
      </c>
      <c r="E438" s="23">
        <f>VLOOKUP($A438,Base!B:E,4,0)</f>
        <v>191</v>
      </c>
      <c r="F438" s="24" t="str">
        <f>VLOOKUP($A438,Base!B:F,5,0)</f>
        <v>AVISO DE DÉBITO</v>
      </c>
      <c r="G438" s="23"/>
      <c r="H438" s="17" t="s">
        <v>294</v>
      </c>
      <c r="I438" s="19"/>
      <c r="J438" s="20">
        <v>10.45</v>
      </c>
      <c r="K438" s="21">
        <f t="shared" si="6"/>
        <v>2.4999999999403606</v>
      </c>
    </row>
    <row r="439" spans="1:11" ht="12" customHeight="1" x14ac:dyDescent="0.25">
      <c r="A439" s="28">
        <v>14</v>
      </c>
      <c r="B439" s="14">
        <v>43677</v>
      </c>
      <c r="C439" s="15" t="str">
        <f>VLOOKUP(A439,Base!B:C,2,0)</f>
        <v>3.3.90.39.39 - ENCARGOS FINANCEIROS INDEDUTÍVEIS</v>
      </c>
      <c r="D439" s="15" t="str">
        <f>VLOOKUP(A439,Base!B:D,3,0)</f>
        <v>BANCO DO BRASIL</v>
      </c>
      <c r="E439" s="23">
        <f>VLOOKUP($A439,Base!B:E,4,0)</f>
        <v>191</v>
      </c>
      <c r="F439" s="24" t="str">
        <f>VLOOKUP($A439,Base!B:F,5,0)</f>
        <v>AVISO DE DÉBITO</v>
      </c>
      <c r="G439" s="23"/>
      <c r="H439" s="17" t="s">
        <v>294</v>
      </c>
      <c r="I439" s="19"/>
      <c r="J439" s="20">
        <v>10.45</v>
      </c>
      <c r="K439" s="21">
        <f t="shared" si="6"/>
        <v>-7.9500000000596387</v>
      </c>
    </row>
    <row r="440" spans="1:11" ht="12" customHeight="1" x14ac:dyDescent="0.25">
      <c r="A440" s="28">
        <v>14</v>
      </c>
      <c r="B440" s="14">
        <v>43677</v>
      </c>
      <c r="C440" s="15" t="str">
        <f>VLOOKUP(A440,Base!B:C,2,0)</f>
        <v>3.3.90.39.39 - ENCARGOS FINANCEIROS INDEDUTÍVEIS</v>
      </c>
      <c r="D440" s="15" t="str">
        <f>VLOOKUP(A440,Base!B:D,3,0)</f>
        <v>BANCO DO BRASIL</v>
      </c>
      <c r="E440" s="23">
        <f>VLOOKUP($A440,Base!B:E,4,0)</f>
        <v>191</v>
      </c>
      <c r="F440" s="24" t="str">
        <f>VLOOKUP($A440,Base!B:F,5,0)</f>
        <v>AVISO DE DÉBITO</v>
      </c>
      <c r="G440" s="23"/>
      <c r="H440" s="17" t="s">
        <v>294</v>
      </c>
      <c r="I440" s="19"/>
      <c r="J440" s="20">
        <v>10.45</v>
      </c>
      <c r="K440" s="21">
        <f t="shared" si="6"/>
        <v>-18.400000000059638</v>
      </c>
    </row>
    <row r="441" spans="1:11" ht="12" customHeight="1" x14ac:dyDescent="0.25">
      <c r="A441" s="28">
        <v>14</v>
      </c>
      <c r="B441" s="14">
        <v>43677</v>
      </c>
      <c r="C441" s="15" t="str">
        <f>VLOOKUP(A441,Base!B:C,2,0)</f>
        <v>3.3.90.39.39 - ENCARGOS FINANCEIROS INDEDUTÍVEIS</v>
      </c>
      <c r="D441" s="15" t="str">
        <f>VLOOKUP(A441,Base!B:D,3,0)</f>
        <v>BANCO DO BRASIL</v>
      </c>
      <c r="E441" s="23">
        <f>VLOOKUP($A441,Base!B:E,4,0)</f>
        <v>191</v>
      </c>
      <c r="F441" s="24" t="str">
        <f>VLOOKUP($A441,Base!B:F,5,0)</f>
        <v>AVISO DE DÉBITO</v>
      </c>
      <c r="G441" s="23"/>
      <c r="H441" s="17" t="s">
        <v>294</v>
      </c>
      <c r="I441" s="19"/>
      <c r="J441" s="20">
        <v>10.45</v>
      </c>
      <c r="K441" s="21">
        <f t="shared" si="6"/>
        <v>-28.850000000059637</v>
      </c>
    </row>
    <row r="442" spans="1:11" ht="12" customHeight="1" x14ac:dyDescent="0.25">
      <c r="A442" s="28">
        <v>14</v>
      </c>
      <c r="B442" s="14">
        <v>43677</v>
      </c>
      <c r="C442" s="15" t="str">
        <f>VLOOKUP(A442,Base!B:C,2,0)</f>
        <v>3.3.90.39.39 - ENCARGOS FINANCEIROS INDEDUTÍVEIS</v>
      </c>
      <c r="D442" s="15" t="str">
        <f>VLOOKUP(A442,Base!B:D,3,0)</f>
        <v>BANCO DO BRASIL</v>
      </c>
      <c r="E442" s="23">
        <f>VLOOKUP($A442,Base!B:E,4,0)</f>
        <v>191</v>
      </c>
      <c r="F442" s="24" t="str">
        <f>VLOOKUP($A442,Base!B:F,5,0)</f>
        <v>AVISO DE DÉBITO</v>
      </c>
      <c r="G442" s="23"/>
      <c r="H442" s="17" t="s">
        <v>294</v>
      </c>
      <c r="I442" s="19"/>
      <c r="J442" s="20">
        <v>10.45</v>
      </c>
      <c r="K442" s="21">
        <f t="shared" si="6"/>
        <v>-39.30000000005964</v>
      </c>
    </row>
    <row r="443" spans="1:11" ht="12" customHeight="1" x14ac:dyDescent="0.25">
      <c r="A443" s="28">
        <v>5</v>
      </c>
      <c r="B443" s="14">
        <v>43677</v>
      </c>
      <c r="C443" s="15" t="str">
        <f>VLOOKUP(A443,Base!B:C,2,0)</f>
        <v>RESGATE APLICAÇÃO</v>
      </c>
      <c r="D443" s="15" t="str">
        <f>VLOOKUP(A443,Base!B:D,3,0)</f>
        <v>PALCOPARANÁ</v>
      </c>
      <c r="E443" s="23" t="str">
        <f>VLOOKUP($A443,Base!B:E,4,0)</f>
        <v>25.298.788/0001-95</v>
      </c>
      <c r="F443" s="24">
        <f>VLOOKUP($A443,Base!B:F,5,0)</f>
        <v>0</v>
      </c>
      <c r="G443" s="23"/>
      <c r="H443" s="17" t="s">
        <v>13</v>
      </c>
      <c r="I443" s="19">
        <v>500</v>
      </c>
      <c r="J443" s="20"/>
      <c r="K443" s="21">
        <f t="shared" si="6"/>
        <v>460.69999999994036</v>
      </c>
    </row>
    <row r="444" spans="1:11" ht="12" customHeight="1" x14ac:dyDescent="0.25">
      <c r="A444" s="28">
        <v>5</v>
      </c>
      <c r="B444" s="14">
        <v>43677</v>
      </c>
      <c r="C444" s="15" t="str">
        <f>VLOOKUP(A444,Base!B:C,2,0)</f>
        <v>RESGATE APLICAÇÃO</v>
      </c>
      <c r="D444" s="15" t="str">
        <f>VLOOKUP(A444,Base!B:D,3,0)</f>
        <v>PALCOPARANÁ</v>
      </c>
      <c r="E444" s="23" t="str">
        <f>VLOOKUP($A444,Base!B:E,4,0)</f>
        <v>25.298.788/0001-95</v>
      </c>
      <c r="F444" s="24">
        <f>VLOOKUP($A444,Base!B:F,5,0)</f>
        <v>0</v>
      </c>
      <c r="G444" s="23"/>
      <c r="H444" s="17" t="s">
        <v>13</v>
      </c>
      <c r="I444" s="19">
        <v>6.75</v>
      </c>
      <c r="J444" s="20"/>
      <c r="K444" s="21">
        <f t="shared" si="6"/>
        <v>467.44999999994036</v>
      </c>
    </row>
    <row r="445" spans="1:11" ht="12" customHeight="1" x14ac:dyDescent="0.25">
      <c r="A445" s="28">
        <v>13</v>
      </c>
      <c r="B445" s="14">
        <v>43678</v>
      </c>
      <c r="C445" s="15" t="str">
        <f>VLOOKUP(A445,Base!B:C,2,0)</f>
        <v>3.1.90.46.03 - AUXÍLIO-ALIMENTAÇÃO</v>
      </c>
      <c r="D445" s="15" t="s">
        <v>82</v>
      </c>
      <c r="E445" s="23" t="s">
        <v>83</v>
      </c>
      <c r="F445" s="24" t="str">
        <f>VLOOKUP($A445,Base!B:F,5,0)</f>
        <v>RECIBO</v>
      </c>
      <c r="G445" s="23"/>
      <c r="H445" s="17" t="s">
        <v>286</v>
      </c>
      <c r="I445" s="19"/>
      <c r="J445" s="20">
        <v>56</v>
      </c>
      <c r="K445" s="21">
        <f t="shared" si="6"/>
        <v>411.44999999994036</v>
      </c>
    </row>
    <row r="446" spans="1:11" ht="12" customHeight="1" x14ac:dyDescent="0.25">
      <c r="A446" s="28">
        <v>13</v>
      </c>
      <c r="B446" s="14">
        <v>43678</v>
      </c>
      <c r="C446" s="15" t="str">
        <f>VLOOKUP(A446,Base!B:C,2,0)</f>
        <v>3.1.90.46.03 - AUXÍLIO-ALIMENTAÇÃO</v>
      </c>
      <c r="D446" s="15" t="s">
        <v>68</v>
      </c>
      <c r="E446" s="23" t="s">
        <v>69</v>
      </c>
      <c r="F446" s="24" t="str">
        <f>VLOOKUP($A446,Base!B:F,5,0)</f>
        <v>RECIBO</v>
      </c>
      <c r="G446" s="23"/>
      <c r="H446" s="17" t="s">
        <v>286</v>
      </c>
      <c r="I446" s="19"/>
      <c r="J446" s="20">
        <v>288</v>
      </c>
      <c r="K446" s="21">
        <f t="shared" si="6"/>
        <v>123.44999999994036</v>
      </c>
    </row>
    <row r="447" spans="1:11" ht="12" customHeight="1" x14ac:dyDescent="0.25">
      <c r="A447" s="28">
        <v>13</v>
      </c>
      <c r="B447" s="14">
        <v>43678</v>
      </c>
      <c r="C447" s="15" t="str">
        <f>VLOOKUP(A447,Base!B:C,2,0)</f>
        <v>3.1.90.46.03 - AUXÍLIO-ALIMENTAÇÃO</v>
      </c>
      <c r="D447" s="15" t="s">
        <v>36</v>
      </c>
      <c r="E447" s="23" t="s">
        <v>37</v>
      </c>
      <c r="F447" s="24" t="str">
        <f>VLOOKUP($A447,Base!B:F,5,0)</f>
        <v>RECIBO</v>
      </c>
      <c r="G447" s="23"/>
      <c r="H447" s="17" t="s">
        <v>286</v>
      </c>
      <c r="I447" s="19"/>
      <c r="J447" s="20">
        <v>288</v>
      </c>
      <c r="K447" s="21">
        <f t="shared" si="6"/>
        <v>-164.55000000005964</v>
      </c>
    </row>
    <row r="448" spans="1:11" ht="12" customHeight="1" x14ac:dyDescent="0.25">
      <c r="A448" s="28">
        <v>13</v>
      </c>
      <c r="B448" s="14">
        <v>43678</v>
      </c>
      <c r="C448" s="15" t="str">
        <f>VLOOKUP(A448,Base!B:C,2,0)</f>
        <v>3.1.90.46.03 - AUXÍLIO-ALIMENTAÇÃO</v>
      </c>
      <c r="D448" s="15" t="s">
        <v>84</v>
      </c>
      <c r="E448" s="23" t="s">
        <v>85</v>
      </c>
      <c r="F448" s="24" t="str">
        <f>VLOOKUP($A448,Base!B:F,5,0)</f>
        <v>RECIBO</v>
      </c>
      <c r="G448" s="23"/>
      <c r="H448" s="17" t="s">
        <v>286</v>
      </c>
      <c r="I448" s="19"/>
      <c r="J448" s="20">
        <v>56</v>
      </c>
      <c r="K448" s="21">
        <f t="shared" si="6"/>
        <v>-220.55000000005964</v>
      </c>
    </row>
    <row r="449" spans="1:11" ht="12" customHeight="1" x14ac:dyDescent="0.25">
      <c r="A449" s="28">
        <v>12</v>
      </c>
      <c r="B449" s="14">
        <v>43678</v>
      </c>
      <c r="C449" s="15" t="str">
        <f>VLOOKUP(A449,Base!B:C,2,0)</f>
        <v>3.1.90.46.03 - AUXÍLIO-ALIMENTAÇÃO</v>
      </c>
      <c r="D449" s="15" t="str">
        <f>VLOOKUP(A449,Base!B:D,3,0)</f>
        <v>NICOLE BARÃO RAFFS</v>
      </c>
      <c r="E449" s="23" t="str">
        <f>VLOOKUP($A449,Base!B:E,4,0)</f>
        <v>020.621.669-66</v>
      </c>
      <c r="F449" s="24" t="str">
        <f>VLOOKUP($A449,Base!B:F,5,0)</f>
        <v>RECIBO</v>
      </c>
      <c r="G449" s="23"/>
      <c r="H449" s="17" t="s">
        <v>286</v>
      </c>
      <c r="I449" s="19"/>
      <c r="J449" s="20">
        <v>352</v>
      </c>
      <c r="K449" s="21">
        <f t="shared" si="6"/>
        <v>-572.55000000005964</v>
      </c>
    </row>
    <row r="450" spans="1:11" ht="12" customHeight="1" x14ac:dyDescent="0.25">
      <c r="A450" s="28">
        <v>2</v>
      </c>
      <c r="B450" s="14">
        <v>43678</v>
      </c>
      <c r="C450" s="15" t="str">
        <f>VLOOKUP(A450,Base!B:C,2,0)</f>
        <v>3.1.90.11.61 - VENCIMENTOS E SALÁRIOS</v>
      </c>
      <c r="D450" s="15" t="str">
        <f>VLOOKUP(A450,Base!B:D,3,0)</f>
        <v>NICOLE BARÃO RAFFS</v>
      </c>
      <c r="E450" s="23" t="str">
        <f>VLOOKUP($A450,Base!B:E,4,0)</f>
        <v>020.621.669-66</v>
      </c>
      <c r="F450" s="24" t="str">
        <f>VLOOKUP($A450,Base!B:F,5,0)</f>
        <v>HOLERITE</v>
      </c>
      <c r="G450" s="23"/>
      <c r="H450" s="17" t="s">
        <v>285</v>
      </c>
      <c r="I450" s="19"/>
      <c r="J450" s="20">
        <v>10575.3</v>
      </c>
      <c r="K450" s="21">
        <f t="shared" si="6"/>
        <v>-11147.850000000059</v>
      </c>
    </row>
    <row r="451" spans="1:11" ht="12" customHeight="1" x14ac:dyDescent="0.25">
      <c r="A451" s="28">
        <v>14</v>
      </c>
      <c r="B451" s="14">
        <v>43678</v>
      </c>
      <c r="C451" s="15" t="str">
        <f>VLOOKUP(A451,Base!B:C,2,0)</f>
        <v>3.3.90.39.39 - ENCARGOS FINANCEIROS INDEDUTÍVEIS</v>
      </c>
      <c r="D451" s="15" t="str">
        <f>VLOOKUP(A451,Base!B:D,3,0)</f>
        <v>BANCO DO BRASIL</v>
      </c>
      <c r="E451" s="23">
        <f>VLOOKUP($A451,Base!B:E,4,0)</f>
        <v>191</v>
      </c>
      <c r="F451" s="24" t="str">
        <f>VLOOKUP($A451,Base!B:F,5,0)</f>
        <v>AVISO DE DÉBITO</v>
      </c>
      <c r="G451" s="23"/>
      <c r="H451" s="17" t="s">
        <v>295</v>
      </c>
      <c r="I451" s="19"/>
      <c r="J451" s="20">
        <v>10.45</v>
      </c>
      <c r="K451" s="21">
        <f t="shared" ref="K451:K514" si="7">K450+I451-J451</f>
        <v>-11158.300000000059</v>
      </c>
    </row>
    <row r="452" spans="1:11" ht="12" customHeight="1" x14ac:dyDescent="0.25">
      <c r="A452" s="28">
        <v>5</v>
      </c>
      <c r="B452" s="14">
        <v>43678</v>
      </c>
      <c r="C452" s="15" t="str">
        <f>VLOOKUP(A452,Base!B:C,2,0)</f>
        <v>RESGATE APLICAÇÃO</v>
      </c>
      <c r="D452" s="15" t="str">
        <f>VLOOKUP(A452,Base!B:D,3,0)</f>
        <v>PALCOPARANÁ</v>
      </c>
      <c r="E452" s="23" t="str">
        <f>VLOOKUP($A452,Base!B:E,4,0)</f>
        <v>25.298.788/0001-95</v>
      </c>
      <c r="F452" s="24">
        <f>VLOOKUP($A452,Base!B:F,5,0)</f>
        <v>0</v>
      </c>
      <c r="G452" s="23"/>
      <c r="H452" s="17" t="s">
        <v>13</v>
      </c>
      <c r="I452" s="19">
        <v>11500</v>
      </c>
      <c r="J452" s="20"/>
      <c r="K452" s="21">
        <f t="shared" si="7"/>
        <v>341.6999999999407</v>
      </c>
    </row>
    <row r="453" spans="1:11" ht="12" customHeight="1" x14ac:dyDescent="0.25">
      <c r="A453" s="28">
        <v>19</v>
      </c>
      <c r="B453" s="14">
        <v>43679</v>
      </c>
      <c r="C453" s="15" t="str">
        <f>VLOOKUP(A453,Base!B:C,2,0)</f>
        <v>CRÉDITO</v>
      </c>
      <c r="D453" s="15" t="str">
        <f>VLOOKUP(A453,Base!B:D,3,0)</f>
        <v>PALCOPARANÁ</v>
      </c>
      <c r="E453" s="23" t="str">
        <f>VLOOKUP($A453,Base!B:E,4,0)</f>
        <v>25.298.788/0001-95</v>
      </c>
      <c r="F453" s="24">
        <f>VLOOKUP($A453,Base!B:F,5,0)</f>
        <v>0</v>
      </c>
      <c r="G453" s="23"/>
      <c r="H453" s="17" t="s">
        <v>296</v>
      </c>
      <c r="I453" s="19">
        <v>23</v>
      </c>
      <c r="J453" s="20"/>
      <c r="K453" s="21">
        <f t="shared" si="7"/>
        <v>364.6999999999407</v>
      </c>
    </row>
    <row r="454" spans="1:11" ht="12" customHeight="1" x14ac:dyDescent="0.25">
      <c r="A454" s="28">
        <v>5</v>
      </c>
      <c r="B454" s="14">
        <v>43679</v>
      </c>
      <c r="C454" s="15" t="str">
        <f>VLOOKUP(A454,Base!B:C,2,0)</f>
        <v>RESGATE APLICAÇÃO</v>
      </c>
      <c r="D454" s="15" t="str">
        <f>VLOOKUP(A454,Base!B:D,3,0)</f>
        <v>PALCOPARANÁ</v>
      </c>
      <c r="E454" s="23" t="str">
        <f>VLOOKUP($A454,Base!B:E,4,0)</f>
        <v>25.298.788/0001-95</v>
      </c>
      <c r="F454" s="24">
        <f>VLOOKUP($A454,Base!B:F,5,0)</f>
        <v>0</v>
      </c>
      <c r="G454" s="23"/>
      <c r="H454" s="17" t="s">
        <v>13</v>
      </c>
      <c r="I454" s="19">
        <v>158.01</v>
      </c>
      <c r="J454" s="20"/>
      <c r="K454" s="21">
        <f t="shared" si="7"/>
        <v>522.70999999994069</v>
      </c>
    </row>
    <row r="455" spans="1:11" ht="12" customHeight="1" x14ac:dyDescent="0.25">
      <c r="A455" s="28">
        <v>7</v>
      </c>
      <c r="B455" s="14">
        <v>43682</v>
      </c>
      <c r="C455" s="15" t="str">
        <f>VLOOKUP(A455,Base!B:C,2,0)</f>
        <v>3.3.90.39.05 - SERVIÇOS TÉCNICOS PROFISSIONAIS</v>
      </c>
      <c r="D455" s="15" t="str">
        <f>VLOOKUP(A455,Base!B:D,3,0)</f>
        <v>SBSC CONTADORES ASSOCIADOS LTDA</v>
      </c>
      <c r="E455" s="23" t="str">
        <f>VLOOKUP($A455,Base!B:E,4,0)</f>
        <v>05.377.113/0001-24</v>
      </c>
      <c r="F455" s="24" t="str">
        <f>VLOOKUP($A455,Base!B:F,5,0)</f>
        <v>NFS-e</v>
      </c>
      <c r="G455" s="23">
        <v>783</v>
      </c>
      <c r="H455" s="17" t="s">
        <v>297</v>
      </c>
      <c r="I455" s="19"/>
      <c r="J455" s="20">
        <v>2166.66</v>
      </c>
      <c r="K455" s="21">
        <f t="shared" si="7"/>
        <v>-1643.9500000000592</v>
      </c>
    </row>
    <row r="456" spans="1:11" ht="12" customHeight="1" x14ac:dyDescent="0.25">
      <c r="A456" s="28">
        <v>37</v>
      </c>
      <c r="B456" s="14">
        <v>43682</v>
      </c>
      <c r="C456" s="15" t="str">
        <f>VLOOKUP(A456,Base!B:C,2,0)</f>
        <v>3.3.90.39.81 - SERVIÇOS BANCÁRIOS</v>
      </c>
      <c r="D456" s="15" t="str">
        <f>VLOOKUP(A456,Base!B:D,3,0)</f>
        <v>BANCO DO BRASIL</v>
      </c>
      <c r="E456" s="23">
        <f>VLOOKUP($A456,Base!B:E,4,0)</f>
        <v>0</v>
      </c>
      <c r="F456" s="24">
        <f>VLOOKUP($A456,Base!B:F,5,0)</f>
        <v>0</v>
      </c>
      <c r="G456" s="23"/>
      <c r="H456" s="17" t="s">
        <v>298</v>
      </c>
      <c r="I456" s="19"/>
      <c r="J456" s="20">
        <v>138.22</v>
      </c>
      <c r="K456" s="21">
        <f t="shared" si="7"/>
        <v>-1782.1700000000592</v>
      </c>
    </row>
    <row r="457" spans="1:11" ht="12" customHeight="1" x14ac:dyDescent="0.25">
      <c r="A457" s="28">
        <v>5</v>
      </c>
      <c r="B457" s="14">
        <v>43682</v>
      </c>
      <c r="C457" s="15" t="str">
        <f>VLOOKUP(A457,Base!B:C,2,0)</f>
        <v>RESGATE APLICAÇÃO</v>
      </c>
      <c r="D457" s="15" t="str">
        <f>VLOOKUP(A457,Base!B:D,3,0)</f>
        <v>PALCOPARANÁ</v>
      </c>
      <c r="E457" s="23" t="str">
        <f>VLOOKUP($A457,Base!B:E,4,0)</f>
        <v>25.298.788/0001-95</v>
      </c>
      <c r="F457" s="24">
        <f>VLOOKUP($A457,Base!B:F,5,0)</f>
        <v>0</v>
      </c>
      <c r="G457" s="23"/>
      <c r="H457" s="17" t="s">
        <v>13</v>
      </c>
      <c r="I457" s="19">
        <v>2000</v>
      </c>
      <c r="J457" s="20"/>
      <c r="K457" s="21">
        <f t="shared" si="7"/>
        <v>217.82999999994081</v>
      </c>
    </row>
    <row r="458" spans="1:11" ht="12" customHeight="1" x14ac:dyDescent="0.25">
      <c r="A458" s="28">
        <v>5</v>
      </c>
      <c r="B458" s="14">
        <v>43682</v>
      </c>
      <c r="C458" s="15" t="str">
        <f>VLOOKUP(A458,Base!B:C,2,0)</f>
        <v>RESGATE APLICAÇÃO</v>
      </c>
      <c r="D458" s="15" t="str">
        <f>VLOOKUP(A458,Base!B:D,3,0)</f>
        <v>PALCOPARANÁ</v>
      </c>
      <c r="E458" s="23" t="str">
        <f>VLOOKUP($A458,Base!B:E,4,0)</f>
        <v>25.298.788/0001-95</v>
      </c>
      <c r="F458" s="24">
        <f>VLOOKUP($A458,Base!B:F,5,0)</f>
        <v>0</v>
      </c>
      <c r="G458" s="23"/>
      <c r="H458" s="17" t="s">
        <v>13</v>
      </c>
      <c r="I458" s="19">
        <v>28.32</v>
      </c>
      <c r="J458" s="20"/>
      <c r="K458" s="21">
        <f t="shared" si="7"/>
        <v>246.1499999999408</v>
      </c>
    </row>
    <row r="459" spans="1:11" ht="12" customHeight="1" x14ac:dyDescent="0.25">
      <c r="A459" s="28">
        <v>10</v>
      </c>
      <c r="B459" s="14">
        <v>43683</v>
      </c>
      <c r="C459" s="15" t="str">
        <f>VLOOKUP(A459,Base!B:C,2,0)</f>
        <v>3.1.90.13.02 - FGTS</v>
      </c>
      <c r="D459" s="15" t="str">
        <f>VLOOKUP(A459,Base!B:D,3,0)</f>
        <v>CAIXA ECONÔMICA FEDERAL</v>
      </c>
      <c r="E459" s="23">
        <f>VLOOKUP($A459,Base!B:E,4,0)</f>
        <v>0</v>
      </c>
      <c r="F459" s="24" t="str">
        <f>VLOOKUP($A459,Base!B:F,5,0)</f>
        <v>GUIA GRRF</v>
      </c>
      <c r="G459" s="23"/>
      <c r="H459" s="17" t="s">
        <v>299</v>
      </c>
      <c r="I459" s="19"/>
      <c r="J459" s="20">
        <v>21679.33</v>
      </c>
      <c r="K459" s="21">
        <f t="shared" si="7"/>
        <v>-21433.180000000062</v>
      </c>
    </row>
    <row r="460" spans="1:11" ht="12" customHeight="1" x14ac:dyDescent="0.25">
      <c r="A460" s="28">
        <v>4</v>
      </c>
      <c r="B460" s="14">
        <v>43683</v>
      </c>
      <c r="C460" s="15" t="str">
        <f>VLOOKUP(A460,Base!B:C,2,0)</f>
        <v>3.3.90.39.47 - SERVIÇO DE COMUNICAÇÃO EM GERAL</v>
      </c>
      <c r="D460" s="15" t="str">
        <f>VLOOKUP(A460,Base!B:D,3,0)</f>
        <v>DPTO DE IMPRENSA OFICIAL ESTADO DO PARANÁ</v>
      </c>
      <c r="E460" s="23" t="str">
        <f>VLOOKUP($A460,Base!B:E,4,0)</f>
        <v>76.437.383/0001-21</v>
      </c>
      <c r="F460" s="24" t="str">
        <f>VLOOKUP($A460,Base!B:F,5,0)</f>
        <v>NOTA FISCAL</v>
      </c>
      <c r="G460" s="23">
        <v>2019278338</v>
      </c>
      <c r="H460" s="17" t="s">
        <v>300</v>
      </c>
      <c r="I460" s="19"/>
      <c r="J460" s="20">
        <v>210</v>
      </c>
      <c r="K460" s="21">
        <f t="shared" si="7"/>
        <v>-21643.180000000062</v>
      </c>
    </row>
    <row r="461" spans="1:11" ht="12" customHeight="1" x14ac:dyDescent="0.25">
      <c r="A461" s="28">
        <v>5</v>
      </c>
      <c r="B461" s="14">
        <v>43683</v>
      </c>
      <c r="C461" s="15" t="str">
        <f>VLOOKUP(A461,Base!B:C,2,0)</f>
        <v>RESGATE APLICAÇÃO</v>
      </c>
      <c r="D461" s="15" t="str">
        <f>VLOOKUP(A461,Base!B:D,3,0)</f>
        <v>PALCOPARANÁ</v>
      </c>
      <c r="E461" s="23" t="str">
        <f>VLOOKUP($A461,Base!B:E,4,0)</f>
        <v>25.298.788/0001-95</v>
      </c>
      <c r="F461" s="24">
        <f>VLOOKUP($A461,Base!B:F,5,0)</f>
        <v>0</v>
      </c>
      <c r="G461" s="23"/>
      <c r="H461" s="17" t="s">
        <v>13</v>
      </c>
      <c r="I461" s="19">
        <v>22000</v>
      </c>
      <c r="J461" s="20"/>
      <c r="K461" s="21">
        <f t="shared" si="7"/>
        <v>356.81999999993786</v>
      </c>
    </row>
    <row r="462" spans="1:11" ht="12" customHeight="1" x14ac:dyDescent="0.25">
      <c r="A462" s="28">
        <v>5</v>
      </c>
      <c r="B462" s="14">
        <v>43683</v>
      </c>
      <c r="C462" s="15" t="str">
        <f>VLOOKUP(A462,Base!B:C,2,0)</f>
        <v>RESGATE APLICAÇÃO</v>
      </c>
      <c r="D462" s="15" t="str">
        <f>VLOOKUP(A462,Base!B:D,3,0)</f>
        <v>PALCOPARANÁ</v>
      </c>
      <c r="E462" s="16" t="str">
        <f>VLOOKUP($A462,Base!B:E,4,0)</f>
        <v>25.298.788/0001-95</v>
      </c>
      <c r="F462" s="24">
        <f>VLOOKUP($A462,Base!B:F,5,0)</f>
        <v>0</v>
      </c>
      <c r="G462" s="23"/>
      <c r="H462" s="17" t="s">
        <v>13</v>
      </c>
      <c r="I462" s="19">
        <v>316.36</v>
      </c>
      <c r="J462" s="20"/>
      <c r="K462" s="21">
        <f t="shared" si="7"/>
        <v>673.17999999993788</v>
      </c>
    </row>
    <row r="463" spans="1:11" ht="12" customHeight="1" x14ac:dyDescent="0.25">
      <c r="A463" s="28">
        <v>17</v>
      </c>
      <c r="B463" s="14">
        <v>43690</v>
      </c>
      <c r="C463" s="15" t="str">
        <f>VLOOKUP(A463,Base!B:C,2,0)</f>
        <v>3.3.90.39.05 - SERVIÇOS TÉCNICOS PROFISSIONAIS</v>
      </c>
      <c r="D463" s="25" t="s">
        <v>301</v>
      </c>
      <c r="E463" s="26" t="s">
        <v>302</v>
      </c>
      <c r="F463" s="24" t="str">
        <f>VLOOKUP($A463,Base!B:F,5,0)</f>
        <v>NFS-e</v>
      </c>
      <c r="G463" s="23">
        <v>2</v>
      </c>
      <c r="H463" s="17" t="s">
        <v>303</v>
      </c>
      <c r="I463" s="19"/>
      <c r="J463" s="20">
        <v>1680</v>
      </c>
      <c r="K463" s="21">
        <f t="shared" si="7"/>
        <v>-1006.8200000000621</v>
      </c>
    </row>
    <row r="464" spans="1:11" ht="12" customHeight="1" x14ac:dyDescent="0.25">
      <c r="A464" s="28">
        <v>5</v>
      </c>
      <c r="B464" s="14">
        <v>43690</v>
      </c>
      <c r="C464" s="15" t="str">
        <f>VLOOKUP(A464,Base!B:C,2,0)</f>
        <v>RESGATE APLICAÇÃO</v>
      </c>
      <c r="D464" s="15" t="str">
        <f>VLOOKUP(A464,Base!B:D,3,0)</f>
        <v>PALCOPARANÁ</v>
      </c>
      <c r="E464" s="23" t="str">
        <f>VLOOKUP($A464,Base!B:E,4,0)</f>
        <v>25.298.788/0001-95</v>
      </c>
      <c r="F464" s="24">
        <f>VLOOKUP($A464,Base!B:F,5,0)</f>
        <v>0</v>
      </c>
      <c r="G464" s="23"/>
      <c r="H464" s="17" t="s">
        <v>13</v>
      </c>
      <c r="I464" s="19">
        <v>1500</v>
      </c>
      <c r="J464" s="20"/>
      <c r="K464" s="21">
        <f t="shared" si="7"/>
        <v>493.17999999993788</v>
      </c>
    </row>
    <row r="465" spans="1:11" ht="12" customHeight="1" x14ac:dyDescent="0.25">
      <c r="A465" s="28">
        <v>5</v>
      </c>
      <c r="B465" s="14">
        <v>43690</v>
      </c>
      <c r="C465" s="15" t="str">
        <f>VLOOKUP(A465,Base!B:C,2,0)</f>
        <v>RESGATE APLICAÇÃO</v>
      </c>
      <c r="D465" s="15" t="str">
        <f>VLOOKUP(A465,Base!B:D,3,0)</f>
        <v>PALCOPARANÁ</v>
      </c>
      <c r="E465" s="23" t="str">
        <f>VLOOKUP($A465,Base!B:E,4,0)</f>
        <v>25.298.788/0001-95</v>
      </c>
      <c r="F465" s="24">
        <f>VLOOKUP($A465,Base!B:F,5,0)</f>
        <v>0</v>
      </c>
      <c r="G465" s="23"/>
      <c r="H465" s="17" t="s">
        <v>13</v>
      </c>
      <c r="I465" s="19">
        <v>23.22</v>
      </c>
      <c r="J465" s="20"/>
      <c r="K465" s="21">
        <f t="shared" si="7"/>
        <v>516.3999999999379</v>
      </c>
    </row>
    <row r="466" spans="1:11" ht="12" customHeight="1" x14ac:dyDescent="0.25">
      <c r="A466" s="28">
        <v>17</v>
      </c>
      <c r="B466" s="14">
        <v>43697</v>
      </c>
      <c r="C466" s="15" t="str">
        <f>VLOOKUP(A466,Base!B:C,2,0)</f>
        <v>3.3.90.39.05 - SERVIÇOS TÉCNICOS PROFISSIONAIS</v>
      </c>
      <c r="D466" s="15" t="s">
        <v>74</v>
      </c>
      <c r="E466" s="26" t="s">
        <v>75</v>
      </c>
      <c r="F466" s="24" t="str">
        <f>VLOOKUP($A466,Base!B:F,5,0)</f>
        <v>NFS-e</v>
      </c>
      <c r="G466" s="23"/>
      <c r="H466" s="17" t="s">
        <v>77</v>
      </c>
      <c r="I466" s="19"/>
      <c r="J466" s="20">
        <v>5890</v>
      </c>
      <c r="K466" s="21">
        <f t="shared" si="7"/>
        <v>-5373.6000000000622</v>
      </c>
    </row>
    <row r="467" spans="1:11" ht="12" customHeight="1" x14ac:dyDescent="0.25">
      <c r="A467" s="28">
        <v>15</v>
      </c>
      <c r="B467" s="14">
        <v>43697</v>
      </c>
      <c r="C467" s="15" t="str">
        <f>VLOOKUP(A467,Base!B:C,2,0)</f>
        <v>3.1.90.11.61 - VENCIMENTOS E SALÁRIOS</v>
      </c>
      <c r="D467" s="15" t="str">
        <f>VLOOKUP(A467,Base!B:D,3,0)</f>
        <v>MINISTÉRIO DA FAZENDA - UNIÃO</v>
      </c>
      <c r="E467" s="23">
        <f>VLOOKUP($A467,Base!B:E,4,0)</f>
        <v>0</v>
      </c>
      <c r="F467" s="24" t="str">
        <f>VLOOKUP($A467,Base!B:F,5,0)</f>
        <v>DARF IRRF</v>
      </c>
      <c r="G467" s="23"/>
      <c r="H467" s="17" t="s">
        <v>304</v>
      </c>
      <c r="I467" s="19"/>
      <c r="J467" s="20">
        <v>19068.95</v>
      </c>
      <c r="K467" s="21">
        <f t="shared" si="7"/>
        <v>-24442.550000000061</v>
      </c>
    </row>
    <row r="468" spans="1:11" ht="12" customHeight="1" x14ac:dyDescent="0.25">
      <c r="A468" s="28">
        <v>15</v>
      </c>
      <c r="B468" s="14">
        <v>43697</v>
      </c>
      <c r="C468" s="15" t="str">
        <f>VLOOKUP(A468,Base!B:C,2,0)</f>
        <v>3.1.90.11.61 - VENCIMENTOS E SALÁRIOS</v>
      </c>
      <c r="D468" s="15" t="str">
        <f>VLOOKUP(A468,Base!B:D,3,0)</f>
        <v>MINISTÉRIO DA FAZENDA - UNIÃO</v>
      </c>
      <c r="E468" s="23">
        <f>VLOOKUP($A468,Base!B:E,4,0)</f>
        <v>0</v>
      </c>
      <c r="F468" s="24" t="str">
        <f>VLOOKUP($A468,Base!B:F,5,0)</f>
        <v>DARF IRRF</v>
      </c>
      <c r="G468" s="23"/>
      <c r="H468" s="17" t="s">
        <v>305</v>
      </c>
      <c r="I468" s="19"/>
      <c r="J468" s="20">
        <v>111.3</v>
      </c>
      <c r="K468" s="21">
        <f t="shared" si="7"/>
        <v>-24553.85000000006</v>
      </c>
    </row>
    <row r="469" spans="1:11" ht="12" customHeight="1" x14ac:dyDescent="0.25">
      <c r="A469" s="28">
        <v>16</v>
      </c>
      <c r="B469" s="14">
        <v>43697</v>
      </c>
      <c r="C469" s="15" t="str">
        <f>VLOOKUP(A469,Base!B:C,2,0)</f>
        <v>3.1.90.13.01- CONTRIBUIÇÕES PREVIDENCIÁRIAS - INSS</v>
      </c>
      <c r="D469" s="15" t="str">
        <f>VLOOKUP(A469,Base!B:D,3,0)</f>
        <v>FUNDO DO REGIME GERAL DE PREVIDENCIA SOCIAL</v>
      </c>
      <c r="E469" s="23" t="str">
        <f>VLOOKUP($A469,Base!B:E,4,0)</f>
        <v>16.727.230/0001-97</v>
      </c>
      <c r="F469" s="24" t="str">
        <f>VLOOKUP($A469,Base!B:F,5,0)</f>
        <v>GPS</v>
      </c>
      <c r="G469" s="23"/>
      <c r="H469" s="17" t="s">
        <v>306</v>
      </c>
      <c r="I469" s="19"/>
      <c r="J469" s="20">
        <v>101569.75</v>
      </c>
      <c r="K469" s="21">
        <f t="shared" si="7"/>
        <v>-126123.60000000006</v>
      </c>
    </row>
    <row r="470" spans="1:11" ht="12" customHeight="1" x14ac:dyDescent="0.25">
      <c r="A470" s="28">
        <v>4</v>
      </c>
      <c r="B470" s="14">
        <v>43697</v>
      </c>
      <c r="C470" s="15" t="str">
        <f>VLOOKUP(A470,Base!B:C,2,0)</f>
        <v>3.3.90.39.47 - SERVIÇO DE COMUNICAÇÃO EM GERAL</v>
      </c>
      <c r="D470" s="15" t="str">
        <f>VLOOKUP(A470,Base!B:D,3,0)</f>
        <v>DPTO DE IMPRENSA OFICIAL ESTADO DO PARANÁ</v>
      </c>
      <c r="E470" s="23" t="str">
        <f>VLOOKUP($A470,Base!B:E,4,0)</f>
        <v>76.437.383/0001-21</v>
      </c>
      <c r="F470" s="24" t="str">
        <f>VLOOKUP($A470,Base!B:F,5,0)</f>
        <v>NOTA FISCAL</v>
      </c>
      <c r="G470" s="23">
        <v>2019279784</v>
      </c>
      <c r="H470" s="17" t="s">
        <v>307</v>
      </c>
      <c r="I470" s="19"/>
      <c r="J470" s="20">
        <v>150</v>
      </c>
      <c r="K470" s="21">
        <f t="shared" si="7"/>
        <v>-126273.60000000006</v>
      </c>
    </row>
    <row r="471" spans="1:11" ht="12" customHeight="1" x14ac:dyDescent="0.25">
      <c r="A471" s="28">
        <v>5</v>
      </c>
      <c r="B471" s="14">
        <v>43697</v>
      </c>
      <c r="C471" s="15" t="str">
        <f>VLOOKUP(A471,Base!B:C,2,0)</f>
        <v>RESGATE APLICAÇÃO</v>
      </c>
      <c r="D471" s="15" t="str">
        <f>VLOOKUP(A471,Base!B:D,3,0)</f>
        <v>PALCOPARANÁ</v>
      </c>
      <c r="E471" s="23" t="str">
        <f>VLOOKUP($A471,Base!B:E,4,0)</f>
        <v>25.298.788/0001-95</v>
      </c>
      <c r="F471" s="24">
        <f>VLOOKUP($A471,Base!B:F,5,0)</f>
        <v>0</v>
      </c>
      <c r="G471" s="23"/>
      <c r="H471" s="17" t="s">
        <v>13</v>
      </c>
      <c r="I471" s="19">
        <v>126500</v>
      </c>
      <c r="J471" s="20"/>
      <c r="K471" s="21">
        <f t="shared" si="7"/>
        <v>226.39999999993597</v>
      </c>
    </row>
    <row r="472" spans="1:11" ht="12" customHeight="1" x14ac:dyDescent="0.25">
      <c r="A472" s="28">
        <v>5</v>
      </c>
      <c r="B472" s="14">
        <v>43697</v>
      </c>
      <c r="C472" s="15" t="str">
        <f>VLOOKUP(A472,Base!B:C,2,0)</f>
        <v>RESGATE APLICAÇÃO</v>
      </c>
      <c r="D472" s="15" t="str">
        <f>VLOOKUP(A472,Base!B:D,3,0)</f>
        <v>PALCOPARANÁ</v>
      </c>
      <c r="E472" s="23" t="str">
        <f>VLOOKUP($A472,Base!B:E,4,0)</f>
        <v>25.298.788/0001-95</v>
      </c>
      <c r="F472" s="24">
        <f>VLOOKUP($A472,Base!B:F,5,0)</f>
        <v>0</v>
      </c>
      <c r="G472" s="23"/>
      <c r="H472" s="17" t="s">
        <v>13</v>
      </c>
      <c r="I472" s="19">
        <v>2094.84</v>
      </c>
      <c r="J472" s="20"/>
      <c r="K472" s="21">
        <f t="shared" si="7"/>
        <v>2321.2399999999361</v>
      </c>
    </row>
    <row r="473" spans="1:11" ht="12" customHeight="1" x14ac:dyDescent="0.25">
      <c r="A473" s="28">
        <v>9</v>
      </c>
      <c r="B473" s="14">
        <v>43698</v>
      </c>
      <c r="C473" s="15" t="str">
        <f>VLOOKUP(A473,Base!B:C,2,0)</f>
        <v>3.3.90.39.12 - LOCAÇÃO DE MÁQUINAS E EQUIPAMENTOS</v>
      </c>
      <c r="D473" s="15" t="str">
        <f>VLOOKUP(A473,Base!B:D,3,0)</f>
        <v>INTERATIVA SOLUÇÕES EM INFORMATICA LTDA</v>
      </c>
      <c r="E473" s="23" t="str">
        <f>VLOOKUP($A473,Base!B:E,4,0)</f>
        <v>04.192.385/0001-97</v>
      </c>
      <c r="F473" s="24" t="str">
        <f>VLOOKUP($A473,Base!B:F,5,0)</f>
        <v>NFS-e</v>
      </c>
      <c r="G473" s="23">
        <v>6999</v>
      </c>
      <c r="H473" s="17" t="s">
        <v>21</v>
      </c>
      <c r="I473" s="19"/>
      <c r="J473" s="20">
        <v>1167</v>
      </c>
      <c r="K473" s="21">
        <f t="shared" si="7"/>
        <v>1154.2399999999361</v>
      </c>
    </row>
    <row r="474" spans="1:11" ht="12" customHeight="1" x14ac:dyDescent="0.25">
      <c r="A474" s="28">
        <v>20</v>
      </c>
      <c r="B474" s="14">
        <v>43700</v>
      </c>
      <c r="C474" s="15" t="str">
        <f>VLOOKUP(A474,Base!B:C,2,0)</f>
        <v>3.1.90.47.01 - PIS/PASEP</v>
      </c>
      <c r="D474" s="15" t="str">
        <f>VLOOKUP(A474,Base!B:D,3,0)</f>
        <v>MINISTÉRIO DA FAZENDA - UNIÃO</v>
      </c>
      <c r="E474" s="23" t="str">
        <f>VLOOKUP($A474,Base!B:E,4,0)</f>
        <v>25.298.788/0001-95 -8301</v>
      </c>
      <c r="F474" s="24" t="str">
        <f>VLOOKUP($A474,Base!B:F,5,0)</f>
        <v>DARF PIS</v>
      </c>
      <c r="G474" s="23"/>
      <c r="H474" s="17" t="s">
        <v>308</v>
      </c>
      <c r="I474" s="19"/>
      <c r="J474" s="20">
        <v>2709.92</v>
      </c>
      <c r="K474" s="21">
        <f t="shared" si="7"/>
        <v>-1555.680000000064</v>
      </c>
    </row>
    <row r="475" spans="1:11" ht="12" customHeight="1" x14ac:dyDescent="0.25">
      <c r="A475" s="28">
        <v>4</v>
      </c>
      <c r="B475" s="14">
        <v>43700</v>
      </c>
      <c r="C475" s="15" t="str">
        <f>VLOOKUP(A475,Base!B:C,2,0)</f>
        <v>3.3.90.39.47 - SERVIÇO DE COMUNICAÇÃO EM GERAL</v>
      </c>
      <c r="D475" s="15" t="str">
        <f>VLOOKUP(A475,Base!B:D,3,0)</f>
        <v>DPTO DE IMPRENSA OFICIAL ESTADO DO PARANÁ</v>
      </c>
      <c r="E475" s="23" t="str">
        <f>VLOOKUP($A475,Base!B:E,4,0)</f>
        <v>76.437.383/0001-21</v>
      </c>
      <c r="F475" s="24" t="str">
        <f>VLOOKUP($A475,Base!B:F,5,0)</f>
        <v>NOTA FISCAL</v>
      </c>
      <c r="G475" s="23">
        <v>2019280154</v>
      </c>
      <c r="H475" s="17" t="s">
        <v>309</v>
      </c>
      <c r="I475" s="19"/>
      <c r="J475" s="20">
        <v>240</v>
      </c>
      <c r="K475" s="21">
        <f t="shared" si="7"/>
        <v>-1795.680000000064</v>
      </c>
    </row>
    <row r="476" spans="1:11" ht="12" customHeight="1" x14ac:dyDescent="0.25">
      <c r="A476" s="28">
        <v>5</v>
      </c>
      <c r="B476" s="14">
        <v>43700</v>
      </c>
      <c r="C476" s="15" t="str">
        <f>VLOOKUP(A476,Base!B:C,2,0)</f>
        <v>RESGATE APLICAÇÃO</v>
      </c>
      <c r="D476" s="15" t="str">
        <f>VLOOKUP(A476,Base!B:D,3,0)</f>
        <v>PALCOPARANÁ</v>
      </c>
      <c r="E476" s="23" t="str">
        <f>VLOOKUP($A476,Base!B:E,4,0)</f>
        <v>25.298.788/0001-95</v>
      </c>
      <c r="F476" s="24">
        <f>VLOOKUP($A476,Base!B:F,5,0)</f>
        <v>0</v>
      </c>
      <c r="G476" s="23"/>
      <c r="H476" s="17" t="s">
        <v>13</v>
      </c>
      <c r="I476" s="19">
        <v>2000</v>
      </c>
      <c r="J476" s="20"/>
      <c r="K476" s="21">
        <f t="shared" si="7"/>
        <v>204.31999999993604</v>
      </c>
    </row>
    <row r="477" spans="1:11" ht="12" customHeight="1" x14ac:dyDescent="0.25">
      <c r="A477" s="28">
        <v>5</v>
      </c>
      <c r="B477" s="14">
        <v>43700</v>
      </c>
      <c r="C477" s="15" t="str">
        <f>VLOOKUP(A477,Base!B:C,2,0)</f>
        <v>RESGATE APLICAÇÃO</v>
      </c>
      <c r="D477" s="15" t="str">
        <f>VLOOKUP(A477,Base!B:D,3,0)</f>
        <v>PALCOPARANÁ</v>
      </c>
      <c r="E477" s="23" t="str">
        <f>VLOOKUP($A477,Base!B:E,4,0)</f>
        <v>25.298.788/0001-95</v>
      </c>
      <c r="F477" s="24">
        <f>VLOOKUP($A477,Base!B:F,5,0)</f>
        <v>0</v>
      </c>
      <c r="G477" s="23"/>
      <c r="H477" s="17" t="s">
        <v>13</v>
      </c>
      <c r="I477" s="19">
        <v>34.44</v>
      </c>
      <c r="J477" s="20"/>
      <c r="K477" s="21">
        <f t="shared" si="7"/>
        <v>238.75999999993604</v>
      </c>
    </row>
    <row r="478" spans="1:11" ht="12" customHeight="1" x14ac:dyDescent="0.25">
      <c r="A478" s="28">
        <v>30</v>
      </c>
      <c r="B478" s="14">
        <v>43703</v>
      </c>
      <c r="C478" s="15" t="str">
        <f>VLOOKUP(A478,Base!B:C,2,0)</f>
        <v>3.3.90.14.03 - AJUDA DE CUSTO PARA VIAGEM</v>
      </c>
      <c r="D478" s="15" t="str">
        <f>VLOOKUP(A478,Base!B:D,3,0)</f>
        <v>COLABORADORES DIVERSOS</v>
      </c>
      <c r="E478" s="23">
        <f>VLOOKUP($A478,Base!B:E,4,0)</f>
        <v>0</v>
      </c>
      <c r="F478" s="24" t="str">
        <f>VLOOKUP($A478,Base!B:F,5,0)</f>
        <v>RECIBO</v>
      </c>
      <c r="G478" s="23"/>
      <c r="H478" s="17" t="s">
        <v>310</v>
      </c>
      <c r="I478" s="19"/>
      <c r="J478" s="20">
        <v>2093</v>
      </c>
      <c r="K478" s="21">
        <f t="shared" si="7"/>
        <v>-1854.2400000000639</v>
      </c>
    </row>
    <row r="479" spans="1:11" ht="12" customHeight="1" x14ac:dyDescent="0.25">
      <c r="A479" s="28">
        <v>31</v>
      </c>
      <c r="B479" s="14">
        <v>43703</v>
      </c>
      <c r="C479" s="15" t="str">
        <f>VLOOKUP(A479,Base!B:C,2,0)</f>
        <v>3.3.90.39.04 - DIREITOS AUTORAIS</v>
      </c>
      <c r="D479" s="15"/>
      <c r="E479" s="16">
        <f>VLOOKUP($A479,Base!B:E,4,0)</f>
        <v>0</v>
      </c>
      <c r="F479" s="24" t="str">
        <f>VLOOKUP($A479,Base!B:F,5,0)</f>
        <v>RECIBO</v>
      </c>
      <c r="G479" s="23"/>
      <c r="H479" s="17" t="s">
        <v>311</v>
      </c>
      <c r="I479" s="19"/>
      <c r="J479" s="20">
        <v>322</v>
      </c>
      <c r="K479" s="21">
        <f t="shared" si="7"/>
        <v>-2176.2400000000639</v>
      </c>
    </row>
    <row r="480" spans="1:11" ht="12" customHeight="1" x14ac:dyDescent="0.25">
      <c r="A480" s="28">
        <v>38</v>
      </c>
      <c r="B480" s="14">
        <v>43703</v>
      </c>
      <c r="C480" s="15" t="str">
        <f>VLOOKUP(A480,Base!B:C,2,0)</f>
        <v>3.3.90.39.50 - SERVIÇOS MÉDICOS - HOSPITAL, ODONT. E LABORATORIAIS</v>
      </c>
      <c r="D480" s="25" t="s">
        <v>312</v>
      </c>
      <c r="E480" s="26" t="s">
        <v>313</v>
      </c>
      <c r="F480" s="24" t="str">
        <f>VLOOKUP($A480,Base!B:F,5,0)</f>
        <v>NFS-e</v>
      </c>
      <c r="G480" s="23">
        <v>1716</v>
      </c>
      <c r="H480" s="17" t="s">
        <v>314</v>
      </c>
      <c r="I480" s="19"/>
      <c r="J480" s="20">
        <v>210</v>
      </c>
      <c r="K480" s="21">
        <f t="shared" si="7"/>
        <v>-2386.2400000000639</v>
      </c>
    </row>
    <row r="481" spans="1:11" ht="12" customHeight="1" x14ac:dyDescent="0.25">
      <c r="A481" s="28">
        <v>5</v>
      </c>
      <c r="B481" s="14">
        <v>43703</v>
      </c>
      <c r="C481" s="15" t="str">
        <f>VLOOKUP(A481,Base!B:C,2,0)</f>
        <v>RESGATE APLICAÇÃO</v>
      </c>
      <c r="D481" s="15" t="str">
        <f>VLOOKUP(A481,Base!B:D,3,0)</f>
        <v>PALCOPARANÁ</v>
      </c>
      <c r="E481" s="23" t="str">
        <f>VLOOKUP($A481,Base!B:E,4,0)</f>
        <v>25.298.788/0001-95</v>
      </c>
      <c r="F481" s="24">
        <f>VLOOKUP($A481,Base!B:F,5,0)</f>
        <v>0</v>
      </c>
      <c r="G481" s="23"/>
      <c r="H481" s="17" t="s">
        <v>13</v>
      </c>
      <c r="I481" s="19">
        <v>2500</v>
      </c>
      <c r="J481" s="20"/>
      <c r="K481" s="21">
        <f t="shared" si="7"/>
        <v>113.7599999999361</v>
      </c>
    </row>
    <row r="482" spans="1:11" ht="12" customHeight="1" x14ac:dyDescent="0.25">
      <c r="A482" s="28">
        <v>5</v>
      </c>
      <c r="B482" s="14">
        <v>43703</v>
      </c>
      <c r="C482" s="15" t="str">
        <f>VLOOKUP(A482,Base!B:C,2,0)</f>
        <v>RESGATE APLICAÇÃO</v>
      </c>
      <c r="D482" s="15" t="str">
        <f>VLOOKUP(A482,Base!B:D,3,0)</f>
        <v>PALCOPARANÁ</v>
      </c>
      <c r="E482" s="23" t="str">
        <f>VLOOKUP($A482,Base!B:E,4,0)</f>
        <v>25.298.788/0001-95</v>
      </c>
      <c r="F482" s="24">
        <f>VLOOKUP($A482,Base!B:F,5,0)</f>
        <v>0</v>
      </c>
      <c r="G482" s="23"/>
      <c r="H482" s="17" t="s">
        <v>13</v>
      </c>
      <c r="I482" s="19">
        <v>43.55</v>
      </c>
      <c r="J482" s="20"/>
      <c r="K482" s="21">
        <f t="shared" si="7"/>
        <v>157.30999999993611</v>
      </c>
    </row>
    <row r="483" spans="1:11" ht="12" customHeight="1" x14ac:dyDescent="0.25">
      <c r="A483" s="28">
        <v>31</v>
      </c>
      <c r="B483" s="14">
        <v>43705</v>
      </c>
      <c r="C483" s="15" t="str">
        <f>VLOOKUP(A483,Base!B:C,2,0)</f>
        <v>3.3.90.39.04 - DIREITOS AUTORAIS</v>
      </c>
      <c r="D483" s="15" t="s">
        <v>68</v>
      </c>
      <c r="E483" s="23" t="s">
        <v>69</v>
      </c>
      <c r="F483" s="24" t="str">
        <f>VLOOKUP($A483,Base!B:F,5,0)</f>
        <v>RECIBO</v>
      </c>
      <c r="G483" s="23" t="s">
        <v>315</v>
      </c>
      <c r="H483" s="17" t="s">
        <v>310</v>
      </c>
      <c r="I483" s="19"/>
      <c r="J483" s="20">
        <v>161</v>
      </c>
      <c r="K483" s="21">
        <f t="shared" si="7"/>
        <v>-3.6900000000638897</v>
      </c>
    </row>
    <row r="484" spans="1:11" ht="12" customHeight="1" x14ac:dyDescent="0.25">
      <c r="A484" s="28">
        <v>14</v>
      </c>
      <c r="B484" s="14">
        <v>43705</v>
      </c>
      <c r="C484" s="15" t="str">
        <f>VLOOKUP(A484,Base!B:C,2,0)</f>
        <v>3.3.90.39.39 - ENCARGOS FINANCEIROS INDEDUTÍVEIS</v>
      </c>
      <c r="D484" s="15" t="str">
        <f>VLOOKUP(A484,Base!B:D,3,0)</f>
        <v>BANCO DO BRASIL</v>
      </c>
      <c r="E484" s="23">
        <f>VLOOKUP($A484,Base!B:E,4,0)</f>
        <v>191</v>
      </c>
      <c r="F484" s="24" t="str">
        <f>VLOOKUP($A484,Base!B:F,5,0)</f>
        <v>AVISO DE DÉBITO</v>
      </c>
      <c r="G484" s="23"/>
      <c r="H484" s="17" t="s">
        <v>316</v>
      </c>
      <c r="I484" s="19"/>
      <c r="J484" s="20">
        <v>10.45</v>
      </c>
      <c r="K484" s="21">
        <f t="shared" si="7"/>
        <v>-14.140000000063889</v>
      </c>
    </row>
    <row r="485" spans="1:11" ht="12" customHeight="1" x14ac:dyDescent="0.25">
      <c r="A485" s="28">
        <v>5</v>
      </c>
      <c r="B485" s="14">
        <v>43705</v>
      </c>
      <c r="C485" s="15" t="str">
        <f>VLOOKUP(A485,Base!B:C,2,0)</f>
        <v>RESGATE APLICAÇÃO</v>
      </c>
      <c r="D485" s="15" t="str">
        <f>VLOOKUP(A485,Base!B:D,3,0)</f>
        <v>PALCOPARANÁ</v>
      </c>
      <c r="E485" s="23" t="str">
        <f>VLOOKUP($A485,Base!B:E,4,0)</f>
        <v>25.298.788/0001-95</v>
      </c>
      <c r="F485" s="24">
        <f>VLOOKUP($A485,Base!B:F,5,0)</f>
        <v>0</v>
      </c>
      <c r="G485" s="23"/>
      <c r="H485" s="17" t="s">
        <v>13</v>
      </c>
      <c r="I485" s="19">
        <v>500</v>
      </c>
      <c r="J485" s="20"/>
      <c r="K485" s="21">
        <f t="shared" si="7"/>
        <v>485.85999999993612</v>
      </c>
    </row>
    <row r="486" spans="1:11" ht="12" customHeight="1" x14ac:dyDescent="0.25">
      <c r="A486" s="28">
        <v>5</v>
      </c>
      <c r="B486" s="14">
        <v>43705</v>
      </c>
      <c r="C486" s="15" t="str">
        <f>VLOOKUP(A486,Base!B:C,2,0)</f>
        <v>RESGATE APLICAÇÃO</v>
      </c>
      <c r="D486" s="15" t="str">
        <f>VLOOKUP(A486,Base!B:D,3,0)</f>
        <v>PALCOPARANÁ</v>
      </c>
      <c r="E486" s="23" t="str">
        <f>VLOOKUP($A486,Base!B:E,4,0)</f>
        <v>25.298.788/0001-95</v>
      </c>
      <c r="F486" s="24">
        <f>VLOOKUP($A486,Base!B:F,5,0)</f>
        <v>0</v>
      </c>
      <c r="G486" s="23"/>
      <c r="H486" s="17" t="s">
        <v>13</v>
      </c>
      <c r="I486" s="19">
        <v>8.93</v>
      </c>
      <c r="J486" s="20"/>
      <c r="K486" s="21">
        <f t="shared" si="7"/>
        <v>494.78999999993613</v>
      </c>
    </row>
    <row r="487" spans="1:11" ht="12" customHeight="1" x14ac:dyDescent="0.25">
      <c r="A487" s="28">
        <v>3</v>
      </c>
      <c r="B487" s="14">
        <v>43706</v>
      </c>
      <c r="C487" s="15" t="str">
        <f>VLOOKUP(A487,Base!B:C,2,0)</f>
        <v>3.1.90.46.03 - AUXÍLIO-ALIMENTAÇÃO</v>
      </c>
      <c r="D487" s="15" t="str">
        <f>VLOOKUP(A487,Base!B:D,3,0)</f>
        <v>COLABORADORES DIVERSOS</v>
      </c>
      <c r="E487" s="23">
        <f>VLOOKUP($A487,Base!B:E,4,0)</f>
        <v>0</v>
      </c>
      <c r="F487" s="24" t="str">
        <f>VLOOKUP($A487,Base!B:F,5,0)</f>
        <v>RECIBO</v>
      </c>
      <c r="G487" s="23"/>
      <c r="H487" s="17" t="s">
        <v>317</v>
      </c>
      <c r="I487" s="19"/>
      <c r="J487" s="20">
        <v>8976</v>
      </c>
      <c r="K487" s="21">
        <f t="shared" si="7"/>
        <v>-8481.2100000000646</v>
      </c>
    </row>
    <row r="488" spans="1:11" ht="12" customHeight="1" x14ac:dyDescent="0.25">
      <c r="A488" s="28">
        <v>3</v>
      </c>
      <c r="B488" s="14">
        <v>43706</v>
      </c>
      <c r="C488" s="15" t="str">
        <f>VLOOKUP(A488,Base!B:C,2,0)</f>
        <v>3.1.90.46.03 - AUXÍLIO-ALIMENTAÇÃO</v>
      </c>
      <c r="D488" s="15" t="str">
        <f>VLOOKUP(A488,Base!B:D,3,0)</f>
        <v>COLABORADORES DIVERSOS</v>
      </c>
      <c r="E488" s="23">
        <f>VLOOKUP($A488,Base!B:E,4,0)</f>
        <v>0</v>
      </c>
      <c r="F488" s="24" t="str">
        <f>VLOOKUP($A488,Base!B:F,5,0)</f>
        <v>RECIBO</v>
      </c>
      <c r="G488" s="23"/>
      <c r="H488" s="17" t="s">
        <v>317</v>
      </c>
      <c r="I488" s="19"/>
      <c r="J488" s="20">
        <v>1008</v>
      </c>
      <c r="K488" s="21">
        <f t="shared" si="7"/>
        <v>-9489.2100000000646</v>
      </c>
    </row>
    <row r="489" spans="1:11" ht="12" customHeight="1" x14ac:dyDescent="0.25">
      <c r="A489" s="28">
        <v>1</v>
      </c>
      <c r="B489" s="14">
        <v>43706</v>
      </c>
      <c r="C489" s="15" t="str">
        <f>VLOOKUP(A489,Base!B:C,2,0)</f>
        <v>3.1.90.11.61 - VENCIMENTOS E SALÁRIOS</v>
      </c>
      <c r="D489" s="15" t="str">
        <f>VLOOKUP(A489,Base!B:D,3,0)</f>
        <v>COLABORADORES DIVERSOS</v>
      </c>
      <c r="E489" s="16">
        <f>VLOOKUP($A489,Base!B:E,4,0)</f>
        <v>0</v>
      </c>
      <c r="F489" s="24" t="str">
        <f>VLOOKUP($A489,Base!B:F,5,0)</f>
        <v>HOLERITE</v>
      </c>
      <c r="G489" s="23"/>
      <c r="H489" s="17" t="s">
        <v>318</v>
      </c>
      <c r="I489" s="19"/>
      <c r="J489" s="20">
        <v>206136.71</v>
      </c>
      <c r="K489" s="21">
        <f t="shared" si="7"/>
        <v>-215625.92000000004</v>
      </c>
    </row>
    <row r="490" spans="1:11" ht="12" customHeight="1" x14ac:dyDescent="0.25">
      <c r="A490" s="28">
        <v>11</v>
      </c>
      <c r="B490" s="14">
        <v>43706</v>
      </c>
      <c r="C490" s="15" t="str">
        <f>VLOOKUP(A490,Base!B:C,2,0)</f>
        <v>3.3.90.30.47 - AQUISIÇÃO DE SOFTWARE DE BASE</v>
      </c>
      <c r="D490" s="25" t="s">
        <v>319</v>
      </c>
      <c r="E490" s="26" t="s">
        <v>320</v>
      </c>
      <c r="F490" s="24" t="str">
        <f>VLOOKUP($A490,Base!B:F,5,0)</f>
        <v>NF-e</v>
      </c>
      <c r="G490" s="23">
        <v>532255</v>
      </c>
      <c r="H490" s="17" t="s">
        <v>321</v>
      </c>
      <c r="I490" s="19"/>
      <c r="J490" s="20">
        <v>6399.92</v>
      </c>
      <c r="K490" s="21">
        <f t="shared" si="7"/>
        <v>-222025.84000000005</v>
      </c>
    </row>
    <row r="491" spans="1:11" ht="12" customHeight="1" x14ac:dyDescent="0.25">
      <c r="A491" s="28">
        <v>31</v>
      </c>
      <c r="B491" s="14">
        <v>43706</v>
      </c>
      <c r="C491" s="15" t="str">
        <f>VLOOKUP(A491,Base!B:C,2,0)</f>
        <v>3.3.90.39.04 - DIREITOS AUTORAIS</v>
      </c>
      <c r="D491" s="15" t="s">
        <v>36</v>
      </c>
      <c r="E491" s="23" t="s">
        <v>37</v>
      </c>
      <c r="F491" s="24" t="str">
        <f>VLOOKUP($A491,Base!B:F,5,0)</f>
        <v>RECIBO</v>
      </c>
      <c r="G491" s="23" t="s">
        <v>322</v>
      </c>
      <c r="H491" s="17" t="s">
        <v>310</v>
      </c>
      <c r="I491" s="19"/>
      <c r="J491" s="20">
        <v>161</v>
      </c>
      <c r="K491" s="21">
        <f t="shared" si="7"/>
        <v>-222186.84000000005</v>
      </c>
    </row>
    <row r="492" spans="1:11" ht="12" customHeight="1" x14ac:dyDescent="0.25">
      <c r="A492" s="28">
        <v>14</v>
      </c>
      <c r="B492" s="14">
        <v>43706</v>
      </c>
      <c r="C492" s="15" t="str">
        <f>VLOOKUP(A492,Base!B:C,2,0)</f>
        <v>3.3.90.39.39 - ENCARGOS FINANCEIROS INDEDUTÍVEIS</v>
      </c>
      <c r="D492" s="15" t="str">
        <f>VLOOKUP(A492,Base!B:D,3,0)</f>
        <v>BANCO DO BRASIL</v>
      </c>
      <c r="E492" s="23">
        <f>VLOOKUP($A492,Base!B:E,4,0)</f>
        <v>191</v>
      </c>
      <c r="F492" s="24" t="str">
        <f>VLOOKUP($A492,Base!B:F,5,0)</f>
        <v>AVISO DE DÉBITO</v>
      </c>
      <c r="G492" s="23"/>
      <c r="H492" s="17" t="s">
        <v>323</v>
      </c>
      <c r="I492" s="19"/>
      <c r="J492" s="20">
        <v>10.45</v>
      </c>
      <c r="K492" s="21">
        <f t="shared" si="7"/>
        <v>-222197.29000000007</v>
      </c>
    </row>
    <row r="493" spans="1:11" ht="12" customHeight="1" x14ac:dyDescent="0.25">
      <c r="A493" s="28">
        <v>5</v>
      </c>
      <c r="B493" s="14">
        <v>43614</v>
      </c>
      <c r="C493" s="15" t="str">
        <f>VLOOKUP(A493,Base!B:C,2,0)</f>
        <v>RESGATE APLICAÇÃO</v>
      </c>
      <c r="D493" s="15" t="str">
        <f>VLOOKUP(A493,Base!B:D,3,0)</f>
        <v>PALCOPARANÁ</v>
      </c>
      <c r="E493" s="16" t="str">
        <f>VLOOKUP($A493,Base!B:E,4,0)</f>
        <v>25.298.788/0001-95</v>
      </c>
      <c r="F493" s="24">
        <f>VLOOKUP($A493,Base!B:F,5,0)</f>
        <v>0</v>
      </c>
      <c r="G493" s="23"/>
      <c r="H493" s="17" t="s">
        <v>13</v>
      </c>
      <c r="I493" s="19">
        <v>222500</v>
      </c>
      <c r="J493" s="20"/>
      <c r="K493" s="21">
        <f t="shared" si="7"/>
        <v>302.70999999993364</v>
      </c>
    </row>
    <row r="494" spans="1:11" ht="12" customHeight="1" x14ac:dyDescent="0.25">
      <c r="A494" s="28">
        <v>5</v>
      </c>
      <c r="B494" s="14">
        <v>43614</v>
      </c>
      <c r="C494" s="15" t="str">
        <f>VLOOKUP(A494,Base!B:C,2,0)</f>
        <v>RESGATE APLICAÇÃO</v>
      </c>
      <c r="D494" s="15" t="str">
        <f>VLOOKUP(A494,Base!B:D,3,0)</f>
        <v>PALCOPARANÁ</v>
      </c>
      <c r="E494" s="16" t="str">
        <f>VLOOKUP($A494,Base!B:E,4,0)</f>
        <v>25.298.788/0001-95</v>
      </c>
      <c r="F494" s="24">
        <f>VLOOKUP($A494,Base!B:F,5,0)</f>
        <v>0</v>
      </c>
      <c r="G494" s="23"/>
      <c r="H494" s="17" t="s">
        <v>13</v>
      </c>
      <c r="I494" s="19">
        <v>1263.8</v>
      </c>
      <c r="J494" s="20"/>
      <c r="K494" s="21">
        <f t="shared" si="7"/>
        <v>1566.5099999999336</v>
      </c>
    </row>
    <row r="495" spans="1:11" ht="12" customHeight="1" x14ac:dyDescent="0.25">
      <c r="A495" s="28">
        <v>36</v>
      </c>
      <c r="B495" s="14">
        <v>43707</v>
      </c>
      <c r="C495" s="15" t="str">
        <f>VLOOKUP(A495,Base!B:C,2,0)</f>
        <v>3.9.90.52.42 - MOBILIÁRIO EM GERAL</v>
      </c>
      <c r="D495" s="25" t="s">
        <v>324</v>
      </c>
      <c r="E495" s="26" t="s">
        <v>325</v>
      </c>
      <c r="F495" s="24" t="str">
        <f>VLOOKUP($A495,Base!B:F,5,0)</f>
        <v>NF-e</v>
      </c>
      <c r="G495" s="23"/>
      <c r="H495" s="17" t="s">
        <v>326</v>
      </c>
      <c r="I495" s="19"/>
      <c r="J495" s="20">
        <v>3375</v>
      </c>
      <c r="K495" s="21">
        <f t="shared" si="7"/>
        <v>-1808.4900000000664</v>
      </c>
    </row>
    <row r="496" spans="1:11" ht="12" customHeight="1" x14ac:dyDescent="0.25">
      <c r="A496" s="28">
        <v>14</v>
      </c>
      <c r="B496" s="14">
        <v>43707</v>
      </c>
      <c r="C496" s="15" t="str">
        <f>VLOOKUP(A496,Base!B:C,2,0)</f>
        <v>3.3.90.39.39 - ENCARGOS FINANCEIROS INDEDUTÍVEIS</v>
      </c>
      <c r="D496" s="15" t="str">
        <f>VLOOKUP(A496,Base!B:D,3,0)</f>
        <v>BANCO DO BRASIL</v>
      </c>
      <c r="E496" s="23">
        <f>VLOOKUP($A496,Base!B:E,4,0)</f>
        <v>191</v>
      </c>
      <c r="F496" s="24" t="str">
        <f>VLOOKUP($A496,Base!B:F,5,0)</f>
        <v>AVISO DE DÉBITO</v>
      </c>
      <c r="G496" s="23"/>
      <c r="H496" s="17" t="s">
        <v>294</v>
      </c>
      <c r="I496" s="19"/>
      <c r="J496" s="20">
        <v>11.4</v>
      </c>
      <c r="K496" s="21">
        <f t="shared" si="7"/>
        <v>-1819.8900000000665</v>
      </c>
    </row>
    <row r="497" spans="1:11" ht="12" customHeight="1" x14ac:dyDescent="0.25">
      <c r="A497" s="28">
        <v>14</v>
      </c>
      <c r="B497" s="14">
        <v>43707</v>
      </c>
      <c r="C497" s="15" t="str">
        <f>VLOOKUP(A497,Base!B:C,2,0)</f>
        <v>3.3.90.39.39 - ENCARGOS FINANCEIROS INDEDUTÍVEIS</v>
      </c>
      <c r="D497" s="15" t="str">
        <f>VLOOKUP(A497,Base!B:D,3,0)</f>
        <v>BANCO DO BRASIL</v>
      </c>
      <c r="E497" s="23">
        <f>VLOOKUP($A497,Base!B:E,4,0)</f>
        <v>191</v>
      </c>
      <c r="F497" s="24" t="str">
        <f>VLOOKUP($A497,Base!B:F,5,0)</f>
        <v>AVISO DE DÉBITO</v>
      </c>
      <c r="G497" s="23"/>
      <c r="H497" s="17" t="s">
        <v>294</v>
      </c>
      <c r="I497" s="19"/>
      <c r="J497" s="20">
        <v>5.7</v>
      </c>
      <c r="K497" s="21">
        <f t="shared" si="7"/>
        <v>-1825.5900000000665</v>
      </c>
    </row>
    <row r="498" spans="1:11" ht="12" customHeight="1" x14ac:dyDescent="0.25">
      <c r="A498" s="28">
        <v>14</v>
      </c>
      <c r="B498" s="14">
        <v>43707</v>
      </c>
      <c r="C498" s="15" t="str">
        <f>VLOOKUP(A498,Base!B:C,2,0)</f>
        <v>3.3.90.39.39 - ENCARGOS FINANCEIROS INDEDUTÍVEIS</v>
      </c>
      <c r="D498" s="15" t="str">
        <f>VLOOKUP(A498,Base!B:D,3,0)</f>
        <v>BANCO DO BRASIL</v>
      </c>
      <c r="E498" s="23">
        <f>VLOOKUP($A498,Base!B:E,4,0)</f>
        <v>191</v>
      </c>
      <c r="F498" s="24" t="str">
        <f>VLOOKUP($A498,Base!B:F,5,0)</f>
        <v>AVISO DE DÉBITO</v>
      </c>
      <c r="G498" s="23"/>
      <c r="H498" s="17" t="s">
        <v>294</v>
      </c>
      <c r="I498" s="19"/>
      <c r="J498" s="20">
        <v>5.7</v>
      </c>
      <c r="K498" s="21">
        <f t="shared" si="7"/>
        <v>-1831.2900000000666</v>
      </c>
    </row>
    <row r="499" spans="1:11" ht="12" customHeight="1" x14ac:dyDescent="0.25">
      <c r="A499" s="28">
        <v>14</v>
      </c>
      <c r="B499" s="14">
        <v>43707</v>
      </c>
      <c r="C499" s="15" t="str">
        <f>VLOOKUP(A499,Base!B:C,2,0)</f>
        <v>3.3.90.39.39 - ENCARGOS FINANCEIROS INDEDUTÍVEIS</v>
      </c>
      <c r="D499" s="15" t="str">
        <f>VLOOKUP(A499,Base!B:D,3,0)</f>
        <v>BANCO DO BRASIL</v>
      </c>
      <c r="E499" s="23">
        <f>VLOOKUP($A499,Base!B:E,4,0)</f>
        <v>191</v>
      </c>
      <c r="F499" s="24" t="str">
        <f>VLOOKUP($A499,Base!B:F,5,0)</f>
        <v>AVISO DE DÉBITO</v>
      </c>
      <c r="G499" s="23"/>
      <c r="H499" s="17" t="s">
        <v>295</v>
      </c>
      <c r="I499" s="19"/>
      <c r="J499" s="20">
        <v>17.100000000000001</v>
      </c>
      <c r="K499" s="21">
        <f t="shared" si="7"/>
        <v>-1848.3900000000665</v>
      </c>
    </row>
    <row r="500" spans="1:11" ht="12" customHeight="1" x14ac:dyDescent="0.25">
      <c r="A500" s="28">
        <v>14</v>
      </c>
      <c r="B500" s="14">
        <v>43707</v>
      </c>
      <c r="C500" s="15" t="str">
        <f>VLOOKUP(A500,Base!B:C,2,0)</f>
        <v>3.3.90.39.39 - ENCARGOS FINANCEIROS INDEDUTÍVEIS</v>
      </c>
      <c r="D500" s="15" t="str">
        <f>VLOOKUP(A500,Base!B:D,3,0)</f>
        <v>BANCO DO BRASIL</v>
      </c>
      <c r="E500" s="23">
        <f>VLOOKUP($A500,Base!B:E,4,0)</f>
        <v>191</v>
      </c>
      <c r="F500" s="24" t="str">
        <f>VLOOKUP($A500,Base!B:F,5,0)</f>
        <v>AVISO DE DÉBITO</v>
      </c>
      <c r="G500" s="23"/>
      <c r="H500" s="17" t="s">
        <v>316</v>
      </c>
      <c r="I500" s="19"/>
      <c r="J500" s="20">
        <v>11.4</v>
      </c>
      <c r="K500" s="21">
        <f t="shared" si="7"/>
        <v>-1859.7900000000666</v>
      </c>
    </row>
    <row r="501" spans="1:11" ht="12" customHeight="1" x14ac:dyDescent="0.25">
      <c r="A501" s="28">
        <v>5</v>
      </c>
      <c r="B501" s="14">
        <v>43707</v>
      </c>
      <c r="C501" s="15" t="str">
        <f>VLOOKUP(A501,Base!B:C,2,0)</f>
        <v>RESGATE APLICAÇÃO</v>
      </c>
      <c r="D501" s="15" t="str">
        <f>VLOOKUP(A501,Base!B:D,3,0)</f>
        <v>PALCOPARANÁ</v>
      </c>
      <c r="E501" s="23" t="str">
        <f>VLOOKUP($A501,Base!B:E,4,0)</f>
        <v>25.298.788/0001-95</v>
      </c>
      <c r="F501" s="24">
        <f>VLOOKUP($A501,Base!B:F,5,0)</f>
        <v>0</v>
      </c>
      <c r="G501" s="23"/>
      <c r="H501" s="17" t="s">
        <v>13</v>
      </c>
      <c r="I501" s="19">
        <v>2000</v>
      </c>
      <c r="J501" s="20"/>
      <c r="K501" s="21">
        <f t="shared" si="7"/>
        <v>140.20999999993342</v>
      </c>
    </row>
    <row r="502" spans="1:11" ht="12" customHeight="1" x14ac:dyDescent="0.25">
      <c r="A502" s="28">
        <v>5</v>
      </c>
      <c r="B502" s="14">
        <v>43707</v>
      </c>
      <c r="C502" s="15" t="str">
        <f>VLOOKUP(A502,Base!B:C,2,0)</f>
        <v>RESGATE APLICAÇÃO</v>
      </c>
      <c r="D502" s="15" t="str">
        <f>VLOOKUP(A502,Base!B:D,3,0)</f>
        <v>PALCOPARANÁ</v>
      </c>
      <c r="E502" s="23" t="str">
        <f>VLOOKUP($A502,Base!B:E,4,0)</f>
        <v>25.298.788/0001-95</v>
      </c>
      <c r="F502" s="24">
        <f>VLOOKUP($A502,Base!B:F,5,0)</f>
        <v>0</v>
      </c>
      <c r="G502" s="23"/>
      <c r="H502" s="17" t="s">
        <v>13</v>
      </c>
      <c r="I502" s="19">
        <v>11.76</v>
      </c>
      <c r="J502" s="20"/>
      <c r="K502" s="21">
        <f t="shared" si="7"/>
        <v>151.96999999993341</v>
      </c>
    </row>
    <row r="503" spans="1:11" ht="12" customHeight="1" x14ac:dyDescent="0.25">
      <c r="A503" s="28">
        <v>2</v>
      </c>
      <c r="B503" s="14">
        <v>43710</v>
      </c>
      <c r="C503" s="15" t="str">
        <f>VLOOKUP(A503,Base!B:C,2,0)</f>
        <v>3.1.90.11.61 - VENCIMENTOS E SALÁRIOS</v>
      </c>
      <c r="D503" s="15" t="str">
        <f>VLOOKUP(A503,Base!B:D,3,0)</f>
        <v>NICOLE BARÃO RAFFS</v>
      </c>
      <c r="E503" s="23" t="str">
        <f>VLOOKUP($A503,Base!B:E,4,0)</f>
        <v>020.621.669-66</v>
      </c>
      <c r="F503" s="24" t="str">
        <f>VLOOKUP($A503,Base!B:F,5,0)</f>
        <v>HOLERITE</v>
      </c>
      <c r="G503" s="23"/>
      <c r="H503" s="17" t="s">
        <v>318</v>
      </c>
      <c r="I503" s="19"/>
      <c r="J503" s="20">
        <v>10576.9</v>
      </c>
      <c r="K503" s="21">
        <f t="shared" si="7"/>
        <v>-10424.930000000066</v>
      </c>
    </row>
    <row r="504" spans="1:11" ht="12" customHeight="1" x14ac:dyDescent="0.25">
      <c r="A504" s="28">
        <v>13</v>
      </c>
      <c r="B504" s="14">
        <v>43710</v>
      </c>
      <c r="C504" s="15" t="str">
        <f>VLOOKUP(A504,Base!B:C,2,0)</f>
        <v>3.1.90.46.03 - AUXÍLIO-ALIMENTAÇÃO</v>
      </c>
      <c r="D504" s="15" t="s">
        <v>36</v>
      </c>
      <c r="E504" s="23" t="s">
        <v>37</v>
      </c>
      <c r="F504" s="24" t="str">
        <f>VLOOKUP($A504,Base!B:F,5,0)</f>
        <v>RECIBO</v>
      </c>
      <c r="G504" s="23"/>
      <c r="H504" s="17" t="s">
        <v>317</v>
      </c>
      <c r="I504" s="19"/>
      <c r="J504" s="20">
        <v>336</v>
      </c>
      <c r="K504" s="21">
        <f t="shared" si="7"/>
        <v>-10760.930000000066</v>
      </c>
    </row>
    <row r="505" spans="1:11" ht="12" customHeight="1" x14ac:dyDescent="0.25">
      <c r="A505" s="28">
        <v>13</v>
      </c>
      <c r="B505" s="14">
        <v>43710</v>
      </c>
      <c r="C505" s="15" t="str">
        <f>VLOOKUP(A505,Base!B:C,2,0)</f>
        <v>3.1.90.46.03 - AUXÍLIO-ALIMENTAÇÃO</v>
      </c>
      <c r="D505" s="15" t="s">
        <v>84</v>
      </c>
      <c r="E505" s="23" t="s">
        <v>85</v>
      </c>
      <c r="F505" s="24" t="str">
        <f>VLOOKUP($A505,Base!B:F,5,0)</f>
        <v>RECIBO</v>
      </c>
      <c r="G505" s="23"/>
      <c r="H505" s="17" t="s">
        <v>317</v>
      </c>
      <c r="I505" s="19"/>
      <c r="J505" s="20">
        <v>72</v>
      </c>
      <c r="K505" s="21">
        <f t="shared" si="7"/>
        <v>-10832.930000000066</v>
      </c>
    </row>
    <row r="506" spans="1:11" ht="12" customHeight="1" x14ac:dyDescent="0.25">
      <c r="A506" s="28">
        <v>13</v>
      </c>
      <c r="B506" s="14">
        <v>43710</v>
      </c>
      <c r="C506" s="15" t="str">
        <f>VLOOKUP(A506,Base!B:C,2,0)</f>
        <v>3.1.90.46.03 - AUXÍLIO-ALIMENTAÇÃO</v>
      </c>
      <c r="D506" s="15" t="s">
        <v>68</v>
      </c>
      <c r="E506" s="23" t="s">
        <v>69</v>
      </c>
      <c r="F506" s="24" t="str">
        <f>VLOOKUP($A506,Base!B:F,5,0)</f>
        <v>RECIBO</v>
      </c>
      <c r="G506" s="23"/>
      <c r="H506" s="17" t="s">
        <v>317</v>
      </c>
      <c r="I506" s="19"/>
      <c r="J506" s="20">
        <v>336</v>
      </c>
      <c r="K506" s="21">
        <f t="shared" si="7"/>
        <v>-11168.930000000066</v>
      </c>
    </row>
    <row r="507" spans="1:11" ht="12" customHeight="1" x14ac:dyDescent="0.25">
      <c r="A507" s="28">
        <v>13</v>
      </c>
      <c r="B507" s="14">
        <v>43710</v>
      </c>
      <c r="C507" s="15" t="str">
        <f>VLOOKUP(A507,Base!B:C,2,0)</f>
        <v>3.1.90.46.03 - AUXÍLIO-ALIMENTAÇÃO</v>
      </c>
      <c r="D507" s="15" t="s">
        <v>82</v>
      </c>
      <c r="E507" s="23" t="s">
        <v>83</v>
      </c>
      <c r="F507" s="24" t="str">
        <f>VLOOKUP($A507,Base!B:F,5,0)</f>
        <v>RECIBO</v>
      </c>
      <c r="G507" s="23"/>
      <c r="H507" s="17" t="s">
        <v>317</v>
      </c>
      <c r="I507" s="19"/>
      <c r="J507" s="20">
        <v>72</v>
      </c>
      <c r="K507" s="21">
        <f t="shared" si="7"/>
        <v>-11240.930000000066</v>
      </c>
    </row>
    <row r="508" spans="1:11" ht="12" customHeight="1" x14ac:dyDescent="0.25">
      <c r="A508" s="28">
        <v>12</v>
      </c>
      <c r="B508" s="14">
        <v>43710</v>
      </c>
      <c r="C508" s="15" t="str">
        <f>VLOOKUP(A508,Base!B:C,2,0)</f>
        <v>3.1.90.46.03 - AUXÍLIO-ALIMENTAÇÃO</v>
      </c>
      <c r="D508" s="15" t="str">
        <f>VLOOKUP(A508,Base!B:D,3,0)</f>
        <v>NICOLE BARÃO RAFFS</v>
      </c>
      <c r="E508" s="23" t="str">
        <f>VLOOKUP($A508,Base!B:E,4,0)</f>
        <v>020.621.669-66</v>
      </c>
      <c r="F508" s="24" t="str">
        <f>VLOOKUP($A508,Base!B:F,5,0)</f>
        <v>RECIBO</v>
      </c>
      <c r="G508" s="23"/>
      <c r="H508" s="17" t="s">
        <v>317</v>
      </c>
      <c r="I508" s="19"/>
      <c r="J508" s="20">
        <v>336</v>
      </c>
      <c r="K508" s="21">
        <f t="shared" si="7"/>
        <v>-11576.930000000066</v>
      </c>
    </row>
    <row r="509" spans="1:11" ht="12" customHeight="1" x14ac:dyDescent="0.25">
      <c r="A509" s="28">
        <v>4</v>
      </c>
      <c r="B509" s="14">
        <v>43710</v>
      </c>
      <c r="C509" s="15" t="str">
        <f>VLOOKUP(A509,Base!B:C,2,0)</f>
        <v>3.3.90.39.47 - SERVIÇO DE COMUNICAÇÃO EM GERAL</v>
      </c>
      <c r="D509" s="15" t="str">
        <f>VLOOKUP(A509,Base!B:D,3,0)</f>
        <v>DPTO DE IMPRENSA OFICIAL ESTADO DO PARANÁ</v>
      </c>
      <c r="E509" s="23" t="str">
        <f>VLOOKUP($A509,Base!B:E,4,0)</f>
        <v>76.437.383/0001-21</v>
      </c>
      <c r="F509" s="24" t="str">
        <f>VLOOKUP($A509,Base!B:F,5,0)</f>
        <v>NOTA FISCAL</v>
      </c>
      <c r="G509" s="23">
        <v>2019280964</v>
      </c>
      <c r="H509" s="17" t="s">
        <v>327</v>
      </c>
      <c r="I509" s="19"/>
      <c r="J509" s="20">
        <v>60</v>
      </c>
      <c r="K509" s="21">
        <f t="shared" si="7"/>
        <v>-11636.930000000066</v>
      </c>
    </row>
    <row r="510" spans="1:11" ht="12" customHeight="1" x14ac:dyDescent="0.25">
      <c r="A510" s="28">
        <v>14</v>
      </c>
      <c r="B510" s="14">
        <v>43710</v>
      </c>
      <c r="C510" s="15" t="str">
        <f>VLOOKUP(A510,Base!B:C,2,0)</f>
        <v>3.3.90.39.39 - ENCARGOS FINANCEIROS INDEDUTÍVEIS</v>
      </c>
      <c r="D510" s="15" t="str">
        <f>VLOOKUP(A510,Base!B:D,3,0)</f>
        <v>BANCO DO BRASIL</v>
      </c>
      <c r="E510" s="23">
        <f>VLOOKUP($A510,Base!B:E,4,0)</f>
        <v>191</v>
      </c>
      <c r="F510" s="24" t="str">
        <f>VLOOKUP($A510,Base!B:F,5,0)</f>
        <v>AVISO DE DÉBITO</v>
      </c>
      <c r="G510" s="23"/>
      <c r="H510" s="17" t="s">
        <v>328</v>
      </c>
      <c r="I510" s="19"/>
      <c r="J510" s="20">
        <v>10.45</v>
      </c>
      <c r="K510" s="21">
        <f t="shared" si="7"/>
        <v>-11647.380000000067</v>
      </c>
    </row>
    <row r="511" spans="1:11" ht="12" customHeight="1" x14ac:dyDescent="0.25">
      <c r="A511" s="28">
        <v>5</v>
      </c>
      <c r="B511" s="14">
        <v>43710</v>
      </c>
      <c r="C511" s="15" t="str">
        <f>VLOOKUP(A511,Base!B:C,2,0)</f>
        <v>RESGATE APLICAÇÃO</v>
      </c>
      <c r="D511" s="15" t="str">
        <f>VLOOKUP(A511,Base!B:D,3,0)</f>
        <v>PALCOPARANÁ</v>
      </c>
      <c r="E511" s="23" t="str">
        <f>VLOOKUP($A511,Base!B:E,4,0)</f>
        <v>25.298.788/0001-95</v>
      </c>
      <c r="F511" s="24">
        <f>VLOOKUP($A511,Base!B:F,5,0)</f>
        <v>0</v>
      </c>
      <c r="G511" s="23"/>
      <c r="H511" s="17" t="s">
        <v>13</v>
      </c>
      <c r="I511" s="19">
        <v>12000</v>
      </c>
      <c r="J511" s="20"/>
      <c r="K511" s="21">
        <f t="shared" si="7"/>
        <v>352.6199999999335</v>
      </c>
    </row>
    <row r="512" spans="1:11" ht="12" customHeight="1" x14ac:dyDescent="0.25">
      <c r="A512" s="28">
        <v>5</v>
      </c>
      <c r="B512" s="14">
        <v>43710</v>
      </c>
      <c r="C512" s="15" t="str">
        <f>VLOOKUP(A512,Base!B:C,2,0)</f>
        <v>RESGATE APLICAÇÃO</v>
      </c>
      <c r="D512" s="15" t="str">
        <f>VLOOKUP(A512,Base!B:D,3,0)</f>
        <v>PALCOPARANÁ</v>
      </c>
      <c r="E512" s="23" t="str">
        <f>VLOOKUP($A512,Base!B:E,4,0)</f>
        <v>25.298.788/0001-95</v>
      </c>
      <c r="F512" s="24">
        <f>VLOOKUP($A512,Base!B:F,5,0)</f>
        <v>0</v>
      </c>
      <c r="G512" s="23"/>
      <c r="H512" s="17" t="s">
        <v>13</v>
      </c>
      <c r="I512" s="19">
        <v>73.2</v>
      </c>
      <c r="J512" s="20"/>
      <c r="K512" s="21">
        <f t="shared" si="7"/>
        <v>425.81999999993349</v>
      </c>
    </row>
    <row r="513" spans="1:11" ht="12" customHeight="1" x14ac:dyDescent="0.25">
      <c r="A513" s="28">
        <v>7</v>
      </c>
      <c r="B513" s="14">
        <v>43713</v>
      </c>
      <c r="C513" s="15" t="str">
        <f>VLOOKUP(A513,Base!B:C,2,0)</f>
        <v>3.3.90.39.05 - SERVIÇOS TÉCNICOS PROFISSIONAIS</v>
      </c>
      <c r="D513" s="15" t="str">
        <f>VLOOKUP(A513,Base!B:D,3,0)</f>
        <v>SBSC CONTADORES ASSOCIADOS LTDA</v>
      </c>
      <c r="E513" s="23" t="str">
        <f>VLOOKUP($A513,Base!B:E,4,0)</f>
        <v>05.377.113/0001-24</v>
      </c>
      <c r="F513" s="24" t="str">
        <f>VLOOKUP($A513,Base!B:F,5,0)</f>
        <v>NFS-e</v>
      </c>
      <c r="G513" s="23">
        <v>793</v>
      </c>
      <c r="H513" s="17" t="s">
        <v>329</v>
      </c>
      <c r="I513" s="19"/>
      <c r="J513" s="20">
        <v>2166.66</v>
      </c>
      <c r="K513" s="21">
        <f t="shared" si="7"/>
        <v>-1740.8400000000663</v>
      </c>
    </row>
    <row r="514" spans="1:11" ht="12" customHeight="1" x14ac:dyDescent="0.25">
      <c r="A514" s="28">
        <v>5</v>
      </c>
      <c r="B514" s="14">
        <v>43713</v>
      </c>
      <c r="C514" s="15" t="str">
        <f>VLOOKUP(A514,Base!B:C,2,0)</f>
        <v>RESGATE APLICAÇÃO</v>
      </c>
      <c r="D514" s="15" t="str">
        <f>VLOOKUP(A514,Base!B:D,3,0)</f>
        <v>PALCOPARANÁ</v>
      </c>
      <c r="E514" s="23" t="str">
        <f>VLOOKUP($A514,Base!B:E,4,0)</f>
        <v>25.298.788/0001-95</v>
      </c>
      <c r="F514" s="24">
        <f>VLOOKUP($A514,Base!B:F,5,0)</f>
        <v>0</v>
      </c>
      <c r="G514" s="23"/>
      <c r="H514" s="17" t="s">
        <v>13</v>
      </c>
      <c r="I514" s="19">
        <v>2000</v>
      </c>
      <c r="J514" s="20"/>
      <c r="K514" s="21">
        <f t="shared" si="7"/>
        <v>259.15999999993369</v>
      </c>
    </row>
    <row r="515" spans="1:11" ht="12" customHeight="1" x14ac:dyDescent="0.25">
      <c r="A515" s="28">
        <v>5</v>
      </c>
      <c r="B515" s="14">
        <v>43713</v>
      </c>
      <c r="C515" s="15" t="str">
        <f>VLOOKUP(A515,Base!B:C,2,0)</f>
        <v>RESGATE APLICAÇÃO</v>
      </c>
      <c r="D515" s="15" t="str">
        <f>VLOOKUP(A515,Base!B:D,3,0)</f>
        <v>PALCOPARANÁ</v>
      </c>
      <c r="E515" s="23" t="str">
        <f>VLOOKUP($A515,Base!B:E,4,0)</f>
        <v>25.298.788/0001-95</v>
      </c>
      <c r="F515" s="24">
        <f>VLOOKUP($A515,Base!B:F,5,0)</f>
        <v>0</v>
      </c>
      <c r="G515" s="23"/>
      <c r="H515" s="17" t="s">
        <v>13</v>
      </c>
      <c r="I515" s="19">
        <v>13.48</v>
      </c>
      <c r="J515" s="20"/>
      <c r="K515" s="21">
        <f t="shared" ref="K515:K578" si="8">K514+I515-J515</f>
        <v>272.63999999993371</v>
      </c>
    </row>
    <row r="516" spans="1:11" ht="12" customHeight="1" x14ac:dyDescent="0.25">
      <c r="A516" s="28">
        <v>10</v>
      </c>
      <c r="B516" s="14">
        <v>43714</v>
      </c>
      <c r="C516" s="15" t="str">
        <f>VLOOKUP(A516,Base!B:C,2,0)</f>
        <v>3.1.90.13.02 - FGTS</v>
      </c>
      <c r="D516" s="15" t="str">
        <f>VLOOKUP(A516,Base!B:D,3,0)</f>
        <v>CAIXA ECONÔMICA FEDERAL</v>
      </c>
      <c r="E516" s="23">
        <f>VLOOKUP($A516,Base!B:E,4,0)</f>
        <v>0</v>
      </c>
      <c r="F516" s="24" t="str">
        <f>VLOOKUP($A516,Base!B:F,5,0)</f>
        <v>GUIA GRRF</v>
      </c>
      <c r="G516" s="23"/>
      <c r="H516" s="17" t="s">
        <v>330</v>
      </c>
      <c r="I516" s="19"/>
      <c r="J516" s="20">
        <v>21522.16</v>
      </c>
      <c r="K516" s="21">
        <f t="shared" si="8"/>
        <v>-21249.520000000066</v>
      </c>
    </row>
    <row r="517" spans="1:11" ht="12" customHeight="1" x14ac:dyDescent="0.25">
      <c r="A517" s="28">
        <v>5</v>
      </c>
      <c r="B517" s="14">
        <v>43714</v>
      </c>
      <c r="C517" s="15" t="str">
        <f>VLOOKUP(A517,Base!B:C,2,0)</f>
        <v>RESGATE APLICAÇÃO</v>
      </c>
      <c r="D517" s="15" t="str">
        <f>VLOOKUP(A517,Base!B:D,3,0)</f>
        <v>PALCOPARANÁ</v>
      </c>
      <c r="E517" s="23" t="str">
        <f>VLOOKUP($A517,Base!B:E,4,0)</f>
        <v>25.298.788/0001-95</v>
      </c>
      <c r="F517" s="24">
        <f>VLOOKUP($A517,Base!B:F,5,0)</f>
        <v>0</v>
      </c>
      <c r="G517" s="23"/>
      <c r="H517" s="17" t="s">
        <v>13</v>
      </c>
      <c r="I517" s="19">
        <v>21500</v>
      </c>
      <c r="J517" s="20"/>
      <c r="K517" s="21">
        <f t="shared" si="8"/>
        <v>250.47999999993408</v>
      </c>
    </row>
    <row r="518" spans="1:11" ht="12" customHeight="1" x14ac:dyDescent="0.25">
      <c r="A518" s="28">
        <v>5</v>
      </c>
      <c r="B518" s="14">
        <v>43714</v>
      </c>
      <c r="C518" s="15" t="str">
        <f>VLOOKUP(A518,Base!B:C,2,0)</f>
        <v>RESGATE APLICAÇÃO</v>
      </c>
      <c r="D518" s="15" t="str">
        <f>VLOOKUP(A518,Base!B:D,3,0)</f>
        <v>PALCOPARANÁ</v>
      </c>
      <c r="E518" s="23" t="str">
        <f>VLOOKUP($A518,Base!B:E,4,0)</f>
        <v>25.298.788/0001-95</v>
      </c>
      <c r="F518" s="24">
        <f>VLOOKUP($A518,Base!B:F,5,0)</f>
        <v>0</v>
      </c>
      <c r="G518" s="23"/>
      <c r="H518" s="17" t="s">
        <v>13</v>
      </c>
      <c r="I518" s="19">
        <v>149.63999999999999</v>
      </c>
      <c r="J518" s="20"/>
      <c r="K518" s="21">
        <f t="shared" si="8"/>
        <v>400.11999999993407</v>
      </c>
    </row>
    <row r="519" spans="1:11" ht="12" customHeight="1" x14ac:dyDescent="0.25">
      <c r="A519" s="28">
        <v>4</v>
      </c>
      <c r="B519" s="14">
        <v>43717</v>
      </c>
      <c r="C519" s="15" t="str">
        <f>VLOOKUP(A519,Base!B:C,2,0)</f>
        <v>3.3.90.39.47 - SERVIÇO DE COMUNICAÇÃO EM GERAL</v>
      </c>
      <c r="D519" s="15" t="str">
        <f>VLOOKUP(A519,Base!B:D,3,0)</f>
        <v>DPTO DE IMPRENSA OFICIAL ESTADO DO PARANÁ</v>
      </c>
      <c r="E519" s="23" t="str">
        <f>VLOOKUP($A519,Base!B:E,4,0)</f>
        <v>76.437.383/0001-21</v>
      </c>
      <c r="F519" s="24" t="str">
        <f>VLOOKUP($A519,Base!B:F,5,0)</f>
        <v>NOTA FISCAL</v>
      </c>
      <c r="G519" s="23">
        <v>2019281799</v>
      </c>
      <c r="H519" s="17" t="s">
        <v>331</v>
      </c>
      <c r="I519" s="19"/>
      <c r="J519" s="20">
        <v>180</v>
      </c>
      <c r="K519" s="21">
        <f t="shared" si="8"/>
        <v>220.11999999993407</v>
      </c>
    </row>
    <row r="520" spans="1:11" ht="12" customHeight="1" x14ac:dyDescent="0.25">
      <c r="A520" s="28">
        <v>4</v>
      </c>
      <c r="B520" s="14">
        <v>43724</v>
      </c>
      <c r="C520" s="15" t="str">
        <f>VLOOKUP(A520,Base!B:C,2,0)</f>
        <v>3.3.90.39.47 - SERVIÇO DE COMUNICAÇÃO EM GERAL</v>
      </c>
      <c r="D520" s="15" t="str">
        <f>VLOOKUP(A520,Base!B:D,3,0)</f>
        <v>DPTO DE IMPRENSA OFICIAL ESTADO DO PARANÁ</v>
      </c>
      <c r="E520" s="23" t="str">
        <f>VLOOKUP($A520,Base!B:E,4,0)</f>
        <v>76.437.383/0001-21</v>
      </c>
      <c r="F520" s="24" t="str">
        <f>VLOOKUP($A520,Base!B:F,5,0)</f>
        <v>NOTA FISCAL</v>
      </c>
      <c r="G520" s="23">
        <v>2019282408</v>
      </c>
      <c r="H520" s="17" t="s">
        <v>332</v>
      </c>
      <c r="I520" s="19"/>
      <c r="J520" s="20">
        <v>240</v>
      </c>
      <c r="K520" s="21">
        <f t="shared" si="8"/>
        <v>-19.880000000065934</v>
      </c>
    </row>
    <row r="521" spans="1:11" ht="12" customHeight="1" x14ac:dyDescent="0.25">
      <c r="A521" s="28">
        <v>27</v>
      </c>
      <c r="B521" s="14">
        <v>43724</v>
      </c>
      <c r="C521" s="15" t="str">
        <f>VLOOKUP(A521,Base!B:C,2,0)</f>
        <v>3.1.90.11.64 - FÉRIAS VENCIDAS OU PROPORCIONAIS - RGPS</v>
      </c>
      <c r="D521" s="15" t="s">
        <v>62</v>
      </c>
      <c r="E521" s="23" t="s">
        <v>333</v>
      </c>
      <c r="F521" s="24" t="str">
        <f>VLOOKUP($A521,Base!B:F,5,0)</f>
        <v>RECIBO</v>
      </c>
      <c r="G521" s="23"/>
      <c r="H521" s="17" t="s">
        <v>334</v>
      </c>
      <c r="I521" s="19"/>
      <c r="J521" s="20">
        <v>3229.25</v>
      </c>
      <c r="K521" s="21">
        <f t="shared" si="8"/>
        <v>-3249.130000000066</v>
      </c>
    </row>
    <row r="522" spans="1:11" ht="12" customHeight="1" x14ac:dyDescent="0.25">
      <c r="A522" s="28">
        <v>14</v>
      </c>
      <c r="B522" s="14">
        <v>43724</v>
      </c>
      <c r="C522" s="15" t="str">
        <f>VLOOKUP(A522,Base!B:C,2,0)</f>
        <v>3.3.90.39.39 - ENCARGOS FINANCEIROS INDEDUTÍVEIS</v>
      </c>
      <c r="D522" s="15" t="str">
        <f>VLOOKUP(A522,Base!B:D,3,0)</f>
        <v>BANCO DO BRASIL</v>
      </c>
      <c r="E522" s="23">
        <f>VLOOKUP($A522,Base!B:E,4,0)</f>
        <v>191</v>
      </c>
      <c r="F522" s="24" t="str">
        <f>VLOOKUP($A522,Base!B:F,5,0)</f>
        <v>AVISO DE DÉBITO</v>
      </c>
      <c r="G522" s="23"/>
      <c r="H522" s="17" t="s">
        <v>335</v>
      </c>
      <c r="I522" s="19"/>
      <c r="J522" s="20">
        <v>10.45</v>
      </c>
      <c r="K522" s="21">
        <f t="shared" si="8"/>
        <v>-3259.5800000000659</v>
      </c>
    </row>
    <row r="523" spans="1:11" ht="12" customHeight="1" x14ac:dyDescent="0.25">
      <c r="A523" s="28">
        <v>5</v>
      </c>
      <c r="B523" s="14">
        <v>43724</v>
      </c>
      <c r="C523" s="15" t="str">
        <f>VLOOKUP(A523,Base!B:C,2,0)</f>
        <v>RESGATE APLICAÇÃO</v>
      </c>
      <c r="D523" s="15" t="str">
        <f>VLOOKUP(A523,Base!B:D,3,0)</f>
        <v>PALCOPARANÁ</v>
      </c>
      <c r="E523" s="23" t="str">
        <f>VLOOKUP($A523,Base!B:E,4,0)</f>
        <v>25.298.788/0001-95</v>
      </c>
      <c r="F523" s="24">
        <f>VLOOKUP($A523,Base!B:F,5,0)</f>
        <v>0</v>
      </c>
      <c r="G523" s="23"/>
      <c r="H523" s="17" t="s">
        <v>13</v>
      </c>
      <c r="I523" s="19">
        <v>3500</v>
      </c>
      <c r="J523" s="20"/>
      <c r="K523" s="21">
        <f t="shared" si="8"/>
        <v>240.41999999993413</v>
      </c>
    </row>
    <row r="524" spans="1:11" ht="12" customHeight="1" x14ac:dyDescent="0.25">
      <c r="A524" s="28">
        <v>5</v>
      </c>
      <c r="B524" s="14">
        <v>43724</v>
      </c>
      <c r="C524" s="15" t="str">
        <f>VLOOKUP(A524,Base!B:C,2,0)</f>
        <v>RESGATE APLICAÇÃO</v>
      </c>
      <c r="D524" s="15" t="str">
        <f>VLOOKUP(A524,Base!B:D,3,0)</f>
        <v>PALCOPARANÁ</v>
      </c>
      <c r="E524" s="23" t="str">
        <f>VLOOKUP($A524,Base!B:E,4,0)</f>
        <v>25.298.788/0001-95</v>
      </c>
      <c r="F524" s="24">
        <f>VLOOKUP($A524,Base!B:F,5,0)</f>
        <v>0</v>
      </c>
      <c r="G524" s="23"/>
      <c r="H524" s="17" t="s">
        <v>13</v>
      </c>
      <c r="I524" s="19">
        <v>28.91</v>
      </c>
      <c r="J524" s="20"/>
      <c r="K524" s="21">
        <f t="shared" si="8"/>
        <v>269.32999999993416</v>
      </c>
    </row>
    <row r="525" spans="1:11" ht="12" customHeight="1" x14ac:dyDescent="0.25">
      <c r="A525" s="28">
        <v>15</v>
      </c>
      <c r="B525" s="14">
        <v>43728</v>
      </c>
      <c r="C525" s="15" t="str">
        <f>VLOOKUP(A525,Base!B:C,2,0)</f>
        <v>3.1.90.11.61 - VENCIMENTOS E SALÁRIOS</v>
      </c>
      <c r="D525" s="15" t="str">
        <f>VLOOKUP(A525,Base!B:D,3,0)</f>
        <v>MINISTÉRIO DA FAZENDA - UNIÃO</v>
      </c>
      <c r="E525" s="23">
        <f>VLOOKUP($A525,Base!B:E,4,0)</f>
        <v>0</v>
      </c>
      <c r="F525" s="24" t="str">
        <f>VLOOKUP($A525,Base!B:F,5,0)</f>
        <v>DARF IRRF</v>
      </c>
      <c r="G525" s="23"/>
      <c r="H525" s="17" t="s">
        <v>336</v>
      </c>
      <c r="I525" s="19"/>
      <c r="J525" s="20">
        <v>20677.07</v>
      </c>
      <c r="K525" s="21">
        <f t="shared" si="8"/>
        <v>-20407.740000000067</v>
      </c>
    </row>
    <row r="526" spans="1:11" ht="12" customHeight="1" x14ac:dyDescent="0.25">
      <c r="A526" s="28">
        <v>16</v>
      </c>
      <c r="B526" s="14">
        <v>43728</v>
      </c>
      <c r="C526" s="15" t="str">
        <f>VLOOKUP(A526,Base!B:C,2,0)</f>
        <v>3.1.90.13.01- CONTRIBUIÇÕES PREVIDENCIÁRIAS - INSS</v>
      </c>
      <c r="D526" s="15" t="str">
        <f>VLOOKUP(A526,Base!B:D,3,0)</f>
        <v>FUNDO DO REGIME GERAL DE PREVIDENCIA SOCIAL</v>
      </c>
      <c r="E526" s="23" t="str">
        <f>VLOOKUP($A526,Base!B:E,4,0)</f>
        <v>16.727.230/0001-97</v>
      </c>
      <c r="F526" s="24" t="str">
        <f>VLOOKUP($A526,Base!B:F,5,0)</f>
        <v>GPS</v>
      </c>
      <c r="G526" s="23"/>
      <c r="H526" s="17" t="s">
        <v>337</v>
      </c>
      <c r="I526" s="19"/>
      <c r="J526" s="20">
        <v>98172.87</v>
      </c>
      <c r="K526" s="21">
        <f t="shared" si="8"/>
        <v>-118580.61000000006</v>
      </c>
    </row>
    <row r="527" spans="1:11" ht="12" customHeight="1" x14ac:dyDescent="0.25">
      <c r="A527" s="28">
        <v>5</v>
      </c>
      <c r="B527" s="14">
        <v>43728</v>
      </c>
      <c r="C527" s="15" t="str">
        <f>VLOOKUP(A527,Base!B:C,2,0)</f>
        <v>RESGATE APLICAÇÃO</v>
      </c>
      <c r="D527" s="15" t="str">
        <f>VLOOKUP(A527,Base!B:D,3,0)</f>
        <v>PALCOPARANÁ</v>
      </c>
      <c r="E527" s="23" t="str">
        <f>VLOOKUP($A527,Base!B:E,4,0)</f>
        <v>25.298.788/0001-95</v>
      </c>
      <c r="F527" s="24">
        <f>VLOOKUP($A527,Base!B:F,5,0)</f>
        <v>0</v>
      </c>
      <c r="G527" s="23"/>
      <c r="H527" s="17" t="s">
        <v>13</v>
      </c>
      <c r="I527" s="19">
        <v>119000</v>
      </c>
      <c r="J527" s="20"/>
      <c r="K527" s="21">
        <f t="shared" si="8"/>
        <v>419.38999999994121</v>
      </c>
    </row>
    <row r="528" spans="1:11" ht="12" customHeight="1" x14ac:dyDescent="0.25">
      <c r="A528" s="28">
        <v>5</v>
      </c>
      <c r="B528" s="14">
        <v>43728</v>
      </c>
      <c r="C528" s="15" t="str">
        <f>VLOOKUP(A528,Base!B:C,2,0)</f>
        <v>RESGATE APLICAÇÃO</v>
      </c>
      <c r="D528" s="15" t="str">
        <f>VLOOKUP(A528,Base!B:D,3,0)</f>
        <v>PALCOPARANÁ</v>
      </c>
      <c r="E528" s="23" t="str">
        <f>VLOOKUP($A528,Base!B:E,4,0)</f>
        <v>25.298.788/0001-95</v>
      </c>
      <c r="F528" s="24">
        <f>VLOOKUP($A528,Base!B:F,5,0)</f>
        <v>0</v>
      </c>
      <c r="G528" s="23"/>
      <c r="H528" s="17" t="s">
        <v>13</v>
      </c>
      <c r="I528" s="19">
        <v>1082.9000000000001</v>
      </c>
      <c r="J528" s="20"/>
      <c r="K528" s="21">
        <f t="shared" si="8"/>
        <v>1502.2899999999413</v>
      </c>
    </row>
    <row r="529" spans="1:11" ht="12" customHeight="1" x14ac:dyDescent="0.25">
      <c r="A529" s="28">
        <v>9</v>
      </c>
      <c r="B529" s="14">
        <v>43731</v>
      </c>
      <c r="C529" s="15" t="str">
        <f>VLOOKUP(A529,Base!B:C,2,0)</f>
        <v>3.3.90.39.12 - LOCAÇÃO DE MÁQUINAS E EQUIPAMENTOS</v>
      </c>
      <c r="D529" s="15" t="str">
        <f>VLOOKUP(A529,Base!B:D,3,0)</f>
        <v>INTERATIVA SOLUÇÕES EM INFORMATICA LTDA</v>
      </c>
      <c r="E529" s="23" t="str">
        <f>VLOOKUP($A529,Base!B:E,4,0)</f>
        <v>04.192.385/0001-97</v>
      </c>
      <c r="F529" s="24" t="str">
        <f>VLOOKUP($A529,Base!B:F,5,0)</f>
        <v>NFS-e</v>
      </c>
      <c r="G529" s="23">
        <v>7050</v>
      </c>
      <c r="H529" s="17" t="s">
        <v>21</v>
      </c>
      <c r="I529" s="19"/>
      <c r="J529" s="20">
        <v>1167</v>
      </c>
      <c r="K529" s="21">
        <f t="shared" si="8"/>
        <v>335.2899999999413</v>
      </c>
    </row>
    <row r="530" spans="1:11" ht="12" customHeight="1" x14ac:dyDescent="0.25">
      <c r="A530" s="28">
        <v>20</v>
      </c>
      <c r="B530" s="14">
        <v>43731</v>
      </c>
      <c r="C530" s="15" t="str">
        <f>VLOOKUP(A530,Base!B:C,2,0)</f>
        <v>3.1.90.47.01 - PIS/PASEP</v>
      </c>
      <c r="D530" s="15" t="str">
        <f>VLOOKUP(A530,Base!B:D,3,0)</f>
        <v>MINISTÉRIO DA FAZENDA - UNIÃO</v>
      </c>
      <c r="E530" s="23" t="str">
        <f>VLOOKUP($A530,Base!B:E,4,0)</f>
        <v>25.298.788/0001-95 -8301</v>
      </c>
      <c r="F530" s="24" t="str">
        <f>VLOOKUP($A530,Base!B:F,5,0)</f>
        <v>DARF PIS</v>
      </c>
      <c r="G530" s="23"/>
      <c r="H530" s="17" t="s">
        <v>338</v>
      </c>
      <c r="I530" s="19"/>
      <c r="J530" s="20">
        <v>2660.04</v>
      </c>
      <c r="K530" s="21">
        <f t="shared" si="8"/>
        <v>-2324.7500000000587</v>
      </c>
    </row>
    <row r="531" spans="1:11" ht="12" customHeight="1" x14ac:dyDescent="0.25">
      <c r="A531" s="28">
        <v>4</v>
      </c>
      <c r="B531" s="14">
        <v>43733</v>
      </c>
      <c r="C531" s="15" t="str">
        <f>VLOOKUP(A531,Base!B:C,2,0)</f>
        <v>3.3.90.39.47 - SERVIÇO DE COMUNICAÇÃO EM GERAL</v>
      </c>
      <c r="D531" s="15" t="str">
        <f>VLOOKUP(A531,Base!B:D,3,0)</f>
        <v>DPTO DE IMPRENSA OFICIAL ESTADO DO PARANÁ</v>
      </c>
      <c r="E531" s="23" t="str">
        <f>VLOOKUP($A531,Base!B:E,4,0)</f>
        <v>76.437.383/0001-21</v>
      </c>
      <c r="F531" s="24" t="str">
        <f>VLOOKUP($A531,Base!B:F,5,0)</f>
        <v>NOTA FISCAL</v>
      </c>
      <c r="G531" s="23">
        <v>2019283293</v>
      </c>
      <c r="H531" s="17" t="s">
        <v>339</v>
      </c>
      <c r="I531" s="19"/>
      <c r="J531" s="20">
        <v>120</v>
      </c>
      <c r="K531" s="21">
        <f t="shared" si="8"/>
        <v>-2444.7500000000587</v>
      </c>
    </row>
    <row r="532" spans="1:11" ht="12" customHeight="1" x14ac:dyDescent="0.25">
      <c r="A532" s="28">
        <v>5</v>
      </c>
      <c r="B532" s="14">
        <v>43733</v>
      </c>
      <c r="C532" s="15" t="str">
        <f>VLOOKUP(A532,Base!B:C,2,0)</f>
        <v>RESGATE APLICAÇÃO</v>
      </c>
      <c r="D532" s="15" t="str">
        <f>VLOOKUP(A532,Base!B:D,3,0)</f>
        <v>PALCOPARANÁ</v>
      </c>
      <c r="E532" s="23" t="str">
        <f>VLOOKUP($A532,Base!B:E,4,0)</f>
        <v>25.298.788/0001-95</v>
      </c>
      <c r="F532" s="24">
        <f>VLOOKUP($A532,Base!B:F,5,0)</f>
        <v>0</v>
      </c>
      <c r="G532" s="23"/>
      <c r="H532" s="17" t="s">
        <v>13</v>
      </c>
      <c r="I532" s="19">
        <v>2500</v>
      </c>
      <c r="J532" s="20"/>
      <c r="K532" s="21">
        <f t="shared" si="8"/>
        <v>55.249999999941338</v>
      </c>
    </row>
    <row r="533" spans="1:11" ht="12" customHeight="1" x14ac:dyDescent="0.25">
      <c r="A533" s="28">
        <v>5</v>
      </c>
      <c r="B533" s="14">
        <v>43733</v>
      </c>
      <c r="C533" s="15" t="str">
        <f>VLOOKUP(A533,Base!B:C,2,0)</f>
        <v>RESGATE APLICAÇÃO</v>
      </c>
      <c r="D533" s="15" t="str">
        <f>VLOOKUP(A533,Base!B:D,3,0)</f>
        <v>PALCOPARANÁ</v>
      </c>
      <c r="E533" s="23" t="str">
        <f>VLOOKUP($A533,Base!B:E,4,0)</f>
        <v>25.298.788/0001-95</v>
      </c>
      <c r="F533" s="24">
        <f>VLOOKUP($A533,Base!B:F,5,0)</f>
        <v>0</v>
      </c>
      <c r="G533" s="23"/>
      <c r="H533" s="17" t="s">
        <v>13</v>
      </c>
      <c r="I533" s="19">
        <v>24.25</v>
      </c>
      <c r="J533" s="20"/>
      <c r="K533" s="21">
        <f t="shared" si="8"/>
        <v>79.499999999941338</v>
      </c>
    </row>
    <row r="534" spans="1:11" ht="12" customHeight="1" x14ac:dyDescent="0.25">
      <c r="A534" s="28">
        <v>30</v>
      </c>
      <c r="B534" s="14">
        <v>43735</v>
      </c>
      <c r="C534" s="15" t="str">
        <f>VLOOKUP(A534,Base!B:C,2,0)</f>
        <v>3.3.90.14.03 - AJUDA DE CUSTO PARA VIAGEM</v>
      </c>
      <c r="D534" s="15" t="str">
        <f>VLOOKUP(A534,Base!B:D,3,0)</f>
        <v>COLABORADORES DIVERSOS</v>
      </c>
      <c r="E534" s="23">
        <f>VLOOKUP($A534,Base!B:E,4,0)</f>
        <v>0</v>
      </c>
      <c r="F534" s="24" t="str">
        <f>VLOOKUP($A534,Base!B:F,5,0)</f>
        <v>RECIBO</v>
      </c>
      <c r="G534" s="23"/>
      <c r="H534" s="17" t="s">
        <v>340</v>
      </c>
      <c r="I534" s="19"/>
      <c r="J534" s="20">
        <v>2227</v>
      </c>
      <c r="K534" s="21">
        <f t="shared" si="8"/>
        <v>-2147.5000000000587</v>
      </c>
    </row>
    <row r="535" spans="1:11" ht="12" customHeight="1" x14ac:dyDescent="0.25">
      <c r="A535" s="28">
        <v>31</v>
      </c>
      <c r="B535" s="14">
        <v>43735</v>
      </c>
      <c r="C535" s="15" t="str">
        <f>VLOOKUP(A535,Base!B:C,2,0)</f>
        <v>3.3.90.39.04 - DIREITOS AUTORAIS</v>
      </c>
      <c r="D535" s="15"/>
      <c r="E535" s="23">
        <f>VLOOKUP($A535,Base!B:E,4,0)</f>
        <v>0</v>
      </c>
      <c r="F535" s="24" t="str">
        <f>VLOOKUP($A535,Base!B:F,5,0)</f>
        <v>RECIBO</v>
      </c>
      <c r="G535" s="23"/>
      <c r="H535" s="17" t="s">
        <v>341</v>
      </c>
      <c r="I535" s="19"/>
      <c r="J535" s="20">
        <v>262</v>
      </c>
      <c r="K535" s="21">
        <f t="shared" si="8"/>
        <v>-2409.5000000000587</v>
      </c>
    </row>
    <row r="536" spans="1:11" ht="12" customHeight="1" x14ac:dyDescent="0.25">
      <c r="A536" s="28">
        <v>1</v>
      </c>
      <c r="B536" s="14">
        <v>43735</v>
      </c>
      <c r="C536" s="15" t="str">
        <f>VLOOKUP(A536,Base!B:C,2,0)</f>
        <v>3.1.90.11.61 - VENCIMENTOS E SALÁRIOS</v>
      </c>
      <c r="D536" s="15" t="str">
        <f>VLOOKUP(A536,Base!B:D,3,0)</f>
        <v>COLABORADORES DIVERSOS</v>
      </c>
      <c r="E536" s="23">
        <f>VLOOKUP($A536,Base!B:E,4,0)</f>
        <v>0</v>
      </c>
      <c r="F536" s="24" t="str">
        <f>VLOOKUP($A536,Base!B:F,5,0)</f>
        <v>HOLERITE</v>
      </c>
      <c r="G536" s="23"/>
      <c r="H536" s="17" t="s">
        <v>342</v>
      </c>
      <c r="I536" s="19"/>
      <c r="J536" s="20">
        <v>205259.28</v>
      </c>
      <c r="K536" s="21">
        <f t="shared" si="8"/>
        <v>-207668.78000000006</v>
      </c>
    </row>
    <row r="537" spans="1:11" ht="12" customHeight="1" x14ac:dyDescent="0.25">
      <c r="A537" s="28">
        <v>3</v>
      </c>
      <c r="B537" s="14">
        <v>43735</v>
      </c>
      <c r="C537" s="15" t="str">
        <f>VLOOKUP(A537,Base!B:C,2,0)</f>
        <v>3.1.90.46.03 - AUXÍLIO-ALIMENTAÇÃO</v>
      </c>
      <c r="D537" s="15" t="str">
        <f>VLOOKUP(A537,Base!B:D,3,0)</f>
        <v>COLABORADORES DIVERSOS</v>
      </c>
      <c r="E537" s="23">
        <f>VLOOKUP($A537,Base!B:E,4,0)</f>
        <v>0</v>
      </c>
      <c r="F537" s="24" t="str">
        <f>VLOOKUP($A537,Base!B:F,5,0)</f>
        <v>RECIBO</v>
      </c>
      <c r="G537" s="23"/>
      <c r="H537" s="17" t="s">
        <v>343</v>
      </c>
      <c r="I537" s="19"/>
      <c r="J537" s="20">
        <v>6256</v>
      </c>
      <c r="K537" s="21">
        <f t="shared" si="8"/>
        <v>-213924.78000000006</v>
      </c>
    </row>
    <row r="538" spans="1:11" ht="12" customHeight="1" x14ac:dyDescent="0.25">
      <c r="A538" s="28">
        <v>13</v>
      </c>
      <c r="B538" s="14">
        <v>43735</v>
      </c>
      <c r="C538" s="15" t="str">
        <f>VLOOKUP(A538,Base!B:C,2,0)</f>
        <v>3.1.90.46.03 - AUXÍLIO-ALIMENTAÇÃO</v>
      </c>
      <c r="D538" s="15"/>
      <c r="E538" s="23">
        <f>VLOOKUP($A538,Base!B:E,4,0)</f>
        <v>0</v>
      </c>
      <c r="F538" s="24" t="str">
        <f>VLOOKUP($A538,Base!B:F,5,0)</f>
        <v>RECIBO</v>
      </c>
      <c r="G538" s="23"/>
      <c r="H538" s="17" t="s">
        <v>344</v>
      </c>
      <c r="I538" s="19"/>
      <c r="J538" s="20">
        <v>880</v>
      </c>
      <c r="K538" s="21">
        <f t="shared" si="8"/>
        <v>-214804.78000000006</v>
      </c>
    </row>
    <row r="539" spans="1:11" ht="12" customHeight="1" x14ac:dyDescent="0.25">
      <c r="A539" s="28">
        <v>5</v>
      </c>
      <c r="B539" s="14">
        <v>43735</v>
      </c>
      <c r="C539" s="15" t="str">
        <f>VLOOKUP(A539,Base!B:C,2,0)</f>
        <v>RESGATE APLICAÇÃO</v>
      </c>
      <c r="D539" s="15" t="str">
        <f>VLOOKUP(A539,Base!B:D,3,0)</f>
        <v>PALCOPARANÁ</v>
      </c>
      <c r="E539" s="23" t="str">
        <f>VLOOKUP($A539,Base!B:E,4,0)</f>
        <v>25.298.788/0001-95</v>
      </c>
      <c r="F539" s="24">
        <f>VLOOKUP($A539,Base!B:F,5,0)</f>
        <v>0</v>
      </c>
      <c r="G539" s="23"/>
      <c r="H539" s="17" t="s">
        <v>13</v>
      </c>
      <c r="I539" s="19">
        <v>215000</v>
      </c>
      <c r="J539" s="20"/>
      <c r="K539" s="21">
        <f t="shared" si="8"/>
        <v>195.21999999994296</v>
      </c>
    </row>
    <row r="540" spans="1:11" ht="12" customHeight="1" x14ac:dyDescent="0.25">
      <c r="A540" s="28">
        <v>5</v>
      </c>
      <c r="B540" s="14">
        <v>43735</v>
      </c>
      <c r="C540" s="15" t="str">
        <f>VLOOKUP(A540,Base!B:C,2,0)</f>
        <v>RESGATE APLICAÇÃO</v>
      </c>
      <c r="D540" s="15" t="str">
        <f>VLOOKUP(A540,Base!B:D,3,0)</f>
        <v>PALCOPARANÁ</v>
      </c>
      <c r="E540" s="23" t="str">
        <f>VLOOKUP($A540,Base!B:E,4,0)</f>
        <v>25.298.788/0001-95</v>
      </c>
      <c r="F540" s="24">
        <f>VLOOKUP($A540,Base!B:F,5,0)</f>
        <v>0</v>
      </c>
      <c r="G540" s="23"/>
      <c r="H540" s="17" t="s">
        <v>13</v>
      </c>
      <c r="I540" s="19">
        <v>2171.5</v>
      </c>
      <c r="J540" s="20"/>
      <c r="K540" s="21">
        <f t="shared" si="8"/>
        <v>2366.719999999943</v>
      </c>
    </row>
    <row r="541" spans="1:11" ht="12" customHeight="1" x14ac:dyDescent="0.25">
      <c r="A541" s="28">
        <v>14</v>
      </c>
      <c r="B541" s="14">
        <v>43738</v>
      </c>
      <c r="C541" s="15" t="str">
        <f>VLOOKUP(A541,Base!B:C,2,0)</f>
        <v>3.3.90.39.39 - ENCARGOS FINANCEIROS INDEDUTÍVEIS</v>
      </c>
      <c r="D541" s="15" t="str">
        <f>VLOOKUP(A541,Base!B:D,3,0)</f>
        <v>BANCO DO BRASIL</v>
      </c>
      <c r="E541" s="23">
        <f>VLOOKUP($A541,Base!B:E,4,0)</f>
        <v>191</v>
      </c>
      <c r="F541" s="24" t="str">
        <f>VLOOKUP($A541,Base!B:F,5,0)</f>
        <v>AVISO DE DÉBITO</v>
      </c>
      <c r="G541" s="23"/>
      <c r="H541" s="17" t="s">
        <v>328</v>
      </c>
      <c r="I541" s="19"/>
      <c r="J541" s="20">
        <v>17.100000000000001</v>
      </c>
      <c r="K541" s="21">
        <f t="shared" si="8"/>
        <v>2349.619999999943</v>
      </c>
    </row>
    <row r="542" spans="1:11" ht="12" customHeight="1" x14ac:dyDescent="0.25">
      <c r="A542" s="28">
        <v>31</v>
      </c>
      <c r="B542" s="14">
        <v>43739</v>
      </c>
      <c r="C542" s="15" t="str">
        <f>VLOOKUP(A542,Base!B:C,2,0)</f>
        <v>3.3.90.39.04 - DIREITOS AUTORAIS</v>
      </c>
      <c r="D542" s="15" t="s">
        <v>36</v>
      </c>
      <c r="E542" s="23" t="s">
        <v>37</v>
      </c>
      <c r="F542" s="24" t="str">
        <f>VLOOKUP($A542,Base!B:F,5,0)</f>
        <v>RECIBO</v>
      </c>
      <c r="G542" s="23" t="s">
        <v>345</v>
      </c>
      <c r="H542" s="17" t="s">
        <v>340</v>
      </c>
      <c r="I542" s="19"/>
      <c r="J542" s="20">
        <v>131</v>
      </c>
      <c r="K542" s="21">
        <f t="shared" si="8"/>
        <v>2218.619999999943</v>
      </c>
    </row>
    <row r="543" spans="1:11" ht="12" customHeight="1" x14ac:dyDescent="0.25">
      <c r="A543" s="28">
        <v>31</v>
      </c>
      <c r="B543" s="14">
        <v>43739</v>
      </c>
      <c r="C543" s="15" t="str">
        <f>VLOOKUP(A543,Base!B:C,2,0)</f>
        <v>3.3.90.39.04 - DIREITOS AUTORAIS</v>
      </c>
      <c r="D543" s="15" t="s">
        <v>68</v>
      </c>
      <c r="E543" s="23" t="s">
        <v>69</v>
      </c>
      <c r="F543" s="24" t="str">
        <f>VLOOKUP($A543,Base!B:F,5,0)</f>
        <v>RECIBO</v>
      </c>
      <c r="G543" s="23" t="s">
        <v>346</v>
      </c>
      <c r="H543" s="17" t="s">
        <v>340</v>
      </c>
      <c r="I543" s="19"/>
      <c r="J543" s="20">
        <v>131</v>
      </c>
      <c r="K543" s="21">
        <f t="shared" si="8"/>
        <v>2087.619999999943</v>
      </c>
    </row>
    <row r="544" spans="1:11" ht="12" customHeight="1" x14ac:dyDescent="0.25">
      <c r="A544" s="28">
        <v>2</v>
      </c>
      <c r="B544" s="14">
        <v>43739</v>
      </c>
      <c r="C544" s="15" t="str">
        <f>VLOOKUP(A544,Base!B:C,2,0)</f>
        <v>3.1.90.11.61 - VENCIMENTOS E SALÁRIOS</v>
      </c>
      <c r="D544" s="15" t="str">
        <f>VLOOKUP(A544,Base!B:D,3,0)</f>
        <v>NICOLE BARÃO RAFFS</v>
      </c>
      <c r="E544" s="23" t="str">
        <f>VLOOKUP($A544,Base!B:E,4,0)</f>
        <v>020.621.669-66</v>
      </c>
      <c r="F544" s="24" t="str">
        <f>VLOOKUP($A544,Base!B:F,5,0)</f>
        <v>HOLERITE</v>
      </c>
      <c r="G544" s="23"/>
      <c r="H544" s="17" t="s">
        <v>342</v>
      </c>
      <c r="I544" s="19"/>
      <c r="J544" s="20">
        <v>8862.9500000000007</v>
      </c>
      <c r="K544" s="21">
        <f t="shared" si="8"/>
        <v>-6775.3300000000581</v>
      </c>
    </row>
    <row r="545" spans="1:11" ht="12" customHeight="1" x14ac:dyDescent="0.25">
      <c r="A545" s="28">
        <v>13</v>
      </c>
      <c r="B545" s="14">
        <v>43739</v>
      </c>
      <c r="C545" s="15" t="str">
        <f>VLOOKUP(A545,Base!B:C,2,0)</f>
        <v>3.1.90.46.03 - AUXÍLIO-ALIMENTAÇÃO</v>
      </c>
      <c r="D545" s="15" t="s">
        <v>82</v>
      </c>
      <c r="E545" s="23" t="s">
        <v>83</v>
      </c>
      <c r="F545" s="24" t="str">
        <f>VLOOKUP($A545,Base!B:F,5,0)</f>
        <v>RECIBO</v>
      </c>
      <c r="G545" s="23"/>
      <c r="H545" s="17" t="s">
        <v>343</v>
      </c>
      <c r="I545" s="19"/>
      <c r="J545" s="20">
        <v>8</v>
      </c>
      <c r="K545" s="21">
        <f t="shared" si="8"/>
        <v>-6783.3300000000581</v>
      </c>
    </row>
    <row r="546" spans="1:11" ht="12" customHeight="1" x14ac:dyDescent="0.25">
      <c r="A546" s="28">
        <v>13</v>
      </c>
      <c r="B546" s="14">
        <v>43739</v>
      </c>
      <c r="C546" s="15" t="str">
        <f>VLOOKUP(A546,Base!B:C,2,0)</f>
        <v>3.1.90.46.03 - AUXÍLIO-ALIMENTAÇÃO</v>
      </c>
      <c r="D546" s="15" t="s">
        <v>68</v>
      </c>
      <c r="E546" s="23" t="s">
        <v>69</v>
      </c>
      <c r="F546" s="24" t="str">
        <f>VLOOKUP($A546,Base!B:F,5,0)</f>
        <v>RECIBO</v>
      </c>
      <c r="G546" s="23"/>
      <c r="H546" s="17" t="s">
        <v>343</v>
      </c>
      <c r="I546" s="19"/>
      <c r="J546" s="20">
        <v>256</v>
      </c>
      <c r="K546" s="21">
        <f t="shared" si="8"/>
        <v>-7039.3300000000581</v>
      </c>
    </row>
    <row r="547" spans="1:11" ht="12" customHeight="1" x14ac:dyDescent="0.25">
      <c r="A547" s="28">
        <v>13</v>
      </c>
      <c r="B547" s="14">
        <v>43739</v>
      </c>
      <c r="C547" s="15" t="str">
        <f>VLOOKUP(A547,Base!B:C,2,0)</f>
        <v>3.1.90.46.03 - AUXÍLIO-ALIMENTAÇÃO</v>
      </c>
      <c r="D547" s="15" t="s">
        <v>36</v>
      </c>
      <c r="E547" s="23" t="s">
        <v>37</v>
      </c>
      <c r="F547" s="24" t="str">
        <f>VLOOKUP($A547,Base!B:F,5,0)</f>
        <v>RECIBO</v>
      </c>
      <c r="G547" s="23"/>
      <c r="H547" s="17" t="s">
        <v>343</v>
      </c>
      <c r="I547" s="19"/>
      <c r="J547" s="20">
        <v>256</v>
      </c>
      <c r="K547" s="21">
        <f t="shared" si="8"/>
        <v>-7295.3300000000581</v>
      </c>
    </row>
    <row r="548" spans="1:11" ht="12" customHeight="1" x14ac:dyDescent="0.25">
      <c r="A548" s="28">
        <v>13</v>
      </c>
      <c r="B548" s="14">
        <v>43739</v>
      </c>
      <c r="C548" s="15" t="str">
        <f>VLOOKUP(A548,Base!B:C,2,0)</f>
        <v>3.1.90.46.03 - AUXÍLIO-ALIMENTAÇÃO</v>
      </c>
      <c r="D548" s="15" t="s">
        <v>84</v>
      </c>
      <c r="E548" s="23" t="s">
        <v>85</v>
      </c>
      <c r="F548" s="24" t="str">
        <f>VLOOKUP($A548,Base!B:F,5,0)</f>
        <v>RECIBO</v>
      </c>
      <c r="G548" s="23"/>
      <c r="H548" s="17" t="s">
        <v>343</v>
      </c>
      <c r="I548" s="19"/>
      <c r="J548" s="20">
        <v>8</v>
      </c>
      <c r="K548" s="21">
        <f t="shared" si="8"/>
        <v>-7303.3300000000581</v>
      </c>
    </row>
    <row r="549" spans="1:11" ht="12" customHeight="1" x14ac:dyDescent="0.25">
      <c r="A549" s="28">
        <v>12</v>
      </c>
      <c r="B549" s="14">
        <v>43739</v>
      </c>
      <c r="C549" s="15" t="str">
        <f>VLOOKUP(A549,Base!B:C,2,0)</f>
        <v>3.1.90.46.03 - AUXÍLIO-ALIMENTAÇÃO</v>
      </c>
      <c r="D549" s="15" t="str">
        <f>VLOOKUP(A549,Base!B:D,3,0)</f>
        <v>NICOLE BARÃO RAFFS</v>
      </c>
      <c r="E549" s="23" t="str">
        <f>VLOOKUP($A549,Base!B:E,4,0)</f>
        <v>020.621.669-66</v>
      </c>
      <c r="F549" s="24" t="str">
        <f>VLOOKUP($A549,Base!B:F,5,0)</f>
        <v>RECIBO</v>
      </c>
      <c r="G549" s="23"/>
      <c r="H549" s="17" t="s">
        <v>343</v>
      </c>
      <c r="I549" s="19"/>
      <c r="J549" s="20">
        <v>368</v>
      </c>
      <c r="K549" s="21">
        <f t="shared" si="8"/>
        <v>-7671.3300000000581</v>
      </c>
    </row>
    <row r="550" spans="1:11" ht="12" customHeight="1" x14ac:dyDescent="0.25">
      <c r="A550" s="28">
        <v>31</v>
      </c>
      <c r="B550" s="14">
        <v>43739</v>
      </c>
      <c r="C550" s="15" t="str">
        <f>VLOOKUP(A550,Base!B:C,2,0)</f>
        <v>3.3.90.39.04 - DIREITOS AUTORAIS</v>
      </c>
      <c r="D550" s="15" t="s">
        <v>62</v>
      </c>
      <c r="E550" s="23" t="s">
        <v>347</v>
      </c>
      <c r="F550" s="24" t="str">
        <f>VLOOKUP($A550,Base!B:F,5,0)</f>
        <v>RECIBO</v>
      </c>
      <c r="G550" s="23"/>
      <c r="H550" s="17" t="s">
        <v>340</v>
      </c>
      <c r="I550" s="19"/>
      <c r="J550" s="20">
        <v>234</v>
      </c>
      <c r="K550" s="21">
        <f t="shared" si="8"/>
        <v>-7905.3300000000581</v>
      </c>
    </row>
    <row r="551" spans="1:11" ht="12" customHeight="1" x14ac:dyDescent="0.25">
      <c r="A551" s="28">
        <v>14</v>
      </c>
      <c r="B551" s="14">
        <v>43739</v>
      </c>
      <c r="C551" s="15" t="str">
        <f>VLOOKUP(A551,Base!B:C,2,0)</f>
        <v>3.3.90.39.39 - ENCARGOS FINANCEIROS INDEDUTÍVEIS</v>
      </c>
      <c r="D551" s="15" t="str">
        <f>VLOOKUP(A551,Base!B:D,3,0)</f>
        <v>BANCO DO BRASIL</v>
      </c>
      <c r="E551" s="23">
        <f>VLOOKUP($A551,Base!B:E,4,0)</f>
        <v>191</v>
      </c>
      <c r="F551" s="24" t="str">
        <f>VLOOKUP($A551,Base!B:F,5,0)</f>
        <v>AVISO DE DÉBITO</v>
      </c>
      <c r="G551" s="23"/>
      <c r="H551" s="17" t="s">
        <v>348</v>
      </c>
      <c r="I551" s="19"/>
      <c r="J551" s="20">
        <v>10.45</v>
      </c>
      <c r="K551" s="21">
        <f t="shared" si="8"/>
        <v>-7915.780000000058</v>
      </c>
    </row>
    <row r="552" spans="1:11" ht="12" customHeight="1" x14ac:dyDescent="0.25">
      <c r="A552" s="28">
        <v>14</v>
      </c>
      <c r="B552" s="14">
        <v>43739</v>
      </c>
      <c r="C552" s="15" t="str">
        <f>VLOOKUP(A552,Base!B:C,2,0)</f>
        <v>3.3.90.39.39 - ENCARGOS FINANCEIROS INDEDUTÍVEIS</v>
      </c>
      <c r="D552" s="15" t="str">
        <f>VLOOKUP(A552,Base!B:D,3,0)</f>
        <v>BANCO DO BRASIL</v>
      </c>
      <c r="E552" s="23">
        <f>VLOOKUP($A552,Base!B:E,4,0)</f>
        <v>191</v>
      </c>
      <c r="F552" s="24" t="str">
        <f>VLOOKUP($A552,Base!B:F,5,0)</f>
        <v>AVISO DE DÉBITO</v>
      </c>
      <c r="G552" s="23"/>
      <c r="H552" s="17" t="s">
        <v>348</v>
      </c>
      <c r="I552" s="19"/>
      <c r="J552" s="20">
        <v>10.45</v>
      </c>
      <c r="K552" s="21">
        <f t="shared" si="8"/>
        <v>-7926.2300000000578</v>
      </c>
    </row>
    <row r="553" spans="1:11" ht="12" customHeight="1" x14ac:dyDescent="0.25">
      <c r="A553" s="28">
        <v>14</v>
      </c>
      <c r="B553" s="14">
        <v>43739</v>
      </c>
      <c r="C553" s="15" t="str">
        <f>VLOOKUP(A553,Base!B:C,2,0)</f>
        <v>3.3.90.39.39 - ENCARGOS FINANCEIROS INDEDUTÍVEIS</v>
      </c>
      <c r="D553" s="15" t="str">
        <f>VLOOKUP(A553,Base!B:D,3,0)</f>
        <v>BANCO DO BRASIL</v>
      </c>
      <c r="E553" s="23">
        <f>VLOOKUP($A553,Base!B:E,4,0)</f>
        <v>191</v>
      </c>
      <c r="F553" s="24" t="str">
        <f>VLOOKUP($A553,Base!B:F,5,0)</f>
        <v>AVISO DE DÉBITO</v>
      </c>
      <c r="G553" s="23"/>
      <c r="H553" s="17" t="s">
        <v>348</v>
      </c>
      <c r="I553" s="19"/>
      <c r="J553" s="20">
        <v>10.45</v>
      </c>
      <c r="K553" s="21">
        <f t="shared" si="8"/>
        <v>-7936.6800000000576</v>
      </c>
    </row>
    <row r="554" spans="1:11" ht="12" customHeight="1" x14ac:dyDescent="0.25">
      <c r="A554" s="28">
        <v>14</v>
      </c>
      <c r="B554" s="14">
        <v>43739</v>
      </c>
      <c r="C554" s="15" t="str">
        <f>VLOOKUP(A554,Base!B:C,2,0)</f>
        <v>3.3.90.39.39 - ENCARGOS FINANCEIROS INDEDUTÍVEIS</v>
      </c>
      <c r="D554" s="15" t="str">
        <f>VLOOKUP(A554,Base!B:D,3,0)</f>
        <v>BANCO DO BRASIL</v>
      </c>
      <c r="E554" s="23">
        <f>VLOOKUP($A554,Base!B:E,4,0)</f>
        <v>191</v>
      </c>
      <c r="F554" s="24" t="str">
        <f>VLOOKUP($A554,Base!B:F,5,0)</f>
        <v>AVISO DE DÉBITO</v>
      </c>
      <c r="G554" s="23"/>
      <c r="H554" s="17" t="s">
        <v>348</v>
      </c>
      <c r="I554" s="19"/>
      <c r="J554" s="20">
        <v>10.45</v>
      </c>
      <c r="K554" s="21">
        <f t="shared" si="8"/>
        <v>-7947.1300000000574</v>
      </c>
    </row>
    <row r="555" spans="1:11" ht="12" customHeight="1" x14ac:dyDescent="0.25">
      <c r="A555" s="28">
        <v>5</v>
      </c>
      <c r="B555" s="14">
        <v>43739</v>
      </c>
      <c r="C555" s="15" t="str">
        <f>VLOOKUP(A555,Base!B:C,2,0)</f>
        <v>RESGATE APLICAÇÃO</v>
      </c>
      <c r="D555" s="15" t="str">
        <f>VLOOKUP(A555,Base!B:D,3,0)</f>
        <v>PALCOPARANÁ</v>
      </c>
      <c r="E555" s="23" t="str">
        <f>VLOOKUP($A555,Base!B:E,4,0)</f>
        <v>25.298.788/0001-95</v>
      </c>
      <c r="F555" s="24">
        <f>VLOOKUP($A555,Base!B:F,5,0)</f>
        <v>0</v>
      </c>
      <c r="G555" s="23"/>
      <c r="H555" s="17" t="s">
        <v>13</v>
      </c>
      <c r="I555" s="19">
        <v>8000</v>
      </c>
      <c r="J555" s="20"/>
      <c r="K555" s="21">
        <f t="shared" si="8"/>
        <v>52.869999999942593</v>
      </c>
    </row>
    <row r="556" spans="1:11" ht="12" customHeight="1" x14ac:dyDescent="0.25">
      <c r="A556" s="28">
        <v>5</v>
      </c>
      <c r="B556" s="14">
        <v>43740</v>
      </c>
      <c r="C556" s="15" t="str">
        <f>VLOOKUP(A556,Base!B:C,2,0)</f>
        <v>RESGATE APLICAÇÃO</v>
      </c>
      <c r="D556" s="15" t="str">
        <f>VLOOKUP(A556,Base!B:D,3,0)</f>
        <v>PALCOPARANÁ</v>
      </c>
      <c r="E556" s="23" t="str">
        <f>VLOOKUP($A556,Base!B:E,4,0)</f>
        <v>25.298.788/0001-95</v>
      </c>
      <c r="F556" s="24">
        <f>VLOOKUP($A556,Base!B:F,5,0)</f>
        <v>0</v>
      </c>
      <c r="G556" s="23"/>
      <c r="H556" s="17" t="s">
        <v>13</v>
      </c>
      <c r="I556" s="19">
        <v>83.84</v>
      </c>
      <c r="J556" s="20"/>
      <c r="K556" s="21">
        <f t="shared" si="8"/>
        <v>136.7099999999426</v>
      </c>
    </row>
    <row r="557" spans="1:11" ht="12" customHeight="1" x14ac:dyDescent="0.25">
      <c r="A557" s="28">
        <v>19</v>
      </c>
      <c r="B557" s="14">
        <v>43745</v>
      </c>
      <c r="C557" s="15" t="str">
        <f>VLOOKUP(A557,Base!B:C,2,0)</f>
        <v>CRÉDITO</v>
      </c>
      <c r="D557" s="15" t="str">
        <f>VLOOKUP(A557,Base!B:D,3,0)</f>
        <v>PALCOPARANÁ</v>
      </c>
      <c r="E557" s="23" t="str">
        <f>VLOOKUP($A557,Base!B:E,4,0)</f>
        <v>25.298.788/0001-95</v>
      </c>
      <c r="F557" s="24">
        <f>VLOOKUP($A557,Base!B:F,5,0)</f>
        <v>0</v>
      </c>
      <c r="G557" s="23"/>
      <c r="H557" s="17" t="s">
        <v>349</v>
      </c>
      <c r="I557" s="19">
        <v>364</v>
      </c>
      <c r="J557" s="20"/>
      <c r="K557" s="21">
        <f t="shared" si="8"/>
        <v>500.70999999994262</v>
      </c>
    </row>
    <row r="558" spans="1:11" ht="12" customHeight="1" x14ac:dyDescent="0.25">
      <c r="A558" s="28">
        <v>10</v>
      </c>
      <c r="B558" s="14">
        <v>43745</v>
      </c>
      <c r="C558" s="15" t="str">
        <f>VLOOKUP(A558,Base!B:C,2,0)</f>
        <v>3.1.90.13.02 - FGTS</v>
      </c>
      <c r="D558" s="15" t="str">
        <f>VLOOKUP(A558,Base!B:D,3,0)</f>
        <v>CAIXA ECONÔMICA FEDERAL</v>
      </c>
      <c r="E558" s="23">
        <f>VLOOKUP($A558,Base!B:E,4,0)</f>
        <v>0</v>
      </c>
      <c r="F558" s="24" t="str">
        <f>VLOOKUP($A558,Base!B:F,5,0)</f>
        <v>GUIA GRRF</v>
      </c>
      <c r="G558" s="23"/>
      <c r="H558" s="17" t="s">
        <v>350</v>
      </c>
      <c r="I558" s="19"/>
      <c r="J558" s="20">
        <v>21623.07</v>
      </c>
      <c r="K558" s="21">
        <f t="shared" si="8"/>
        <v>-21122.360000000059</v>
      </c>
    </row>
    <row r="559" spans="1:11" ht="12" customHeight="1" x14ac:dyDescent="0.25">
      <c r="A559" s="28">
        <v>7</v>
      </c>
      <c r="B559" s="14">
        <v>43745</v>
      </c>
      <c r="C559" s="15" t="str">
        <f>VLOOKUP(A559,Base!B:C,2,0)</f>
        <v>3.3.90.39.05 - SERVIÇOS TÉCNICOS PROFISSIONAIS</v>
      </c>
      <c r="D559" s="15" t="str">
        <f>VLOOKUP(A559,Base!B:D,3,0)</f>
        <v>SBSC CONTADORES ASSOCIADOS LTDA</v>
      </c>
      <c r="E559" s="23" t="str">
        <f>VLOOKUP($A559,Base!B:E,4,0)</f>
        <v>05.377.113/0001-24</v>
      </c>
      <c r="F559" s="24" t="str">
        <f>VLOOKUP($A559,Base!B:F,5,0)</f>
        <v>NFS-e</v>
      </c>
      <c r="G559" s="23">
        <v>803</v>
      </c>
      <c r="H559" s="17" t="s">
        <v>351</v>
      </c>
      <c r="I559" s="19"/>
      <c r="J559" s="20">
        <v>2166.66</v>
      </c>
      <c r="K559" s="21">
        <f t="shared" si="8"/>
        <v>-23289.020000000059</v>
      </c>
    </row>
    <row r="560" spans="1:11" ht="12" customHeight="1" x14ac:dyDescent="0.25">
      <c r="A560" s="28">
        <v>5</v>
      </c>
      <c r="B560" s="14">
        <v>43745</v>
      </c>
      <c r="C560" s="15" t="str">
        <f>VLOOKUP(A560,Base!B:C,2,0)</f>
        <v>RESGATE APLICAÇÃO</v>
      </c>
      <c r="D560" s="15" t="str">
        <f>VLOOKUP(A560,Base!B:D,3,0)</f>
        <v>PALCOPARANÁ</v>
      </c>
      <c r="E560" s="23" t="str">
        <f>VLOOKUP($A560,Base!B:E,4,0)</f>
        <v>25.298.788/0001-95</v>
      </c>
      <c r="F560" s="24">
        <f>VLOOKUP($A560,Base!B:F,5,0)</f>
        <v>0</v>
      </c>
      <c r="G560" s="23"/>
      <c r="H560" s="17" t="s">
        <v>13</v>
      </c>
      <c r="I560" s="19">
        <v>23500</v>
      </c>
      <c r="J560" s="20"/>
      <c r="K560" s="21">
        <f t="shared" si="8"/>
        <v>210.97999999994136</v>
      </c>
    </row>
    <row r="561" spans="1:11" ht="12" customHeight="1" x14ac:dyDescent="0.25">
      <c r="A561" s="28">
        <v>5</v>
      </c>
      <c r="B561" s="14">
        <v>43746</v>
      </c>
      <c r="C561" s="15" t="str">
        <f>VLOOKUP(A561,Base!B:C,2,0)</f>
        <v>RESGATE APLICAÇÃO</v>
      </c>
      <c r="D561" s="15" t="str">
        <f>VLOOKUP(A561,Base!B:D,3,0)</f>
        <v>PALCOPARANÁ</v>
      </c>
      <c r="E561" s="23" t="str">
        <f>VLOOKUP($A561,Base!B:E,4,0)</f>
        <v>25.298.788/0001-95</v>
      </c>
      <c r="F561" s="24">
        <f>VLOOKUP($A561,Base!B:F,5,0)</f>
        <v>0</v>
      </c>
      <c r="G561" s="23"/>
      <c r="H561" s="17" t="s">
        <v>13</v>
      </c>
      <c r="I561" s="19">
        <v>265.08</v>
      </c>
      <c r="J561" s="20"/>
      <c r="K561" s="21">
        <f t="shared" si="8"/>
        <v>476.05999999994134</v>
      </c>
    </row>
    <row r="562" spans="1:11" ht="12" customHeight="1" x14ac:dyDescent="0.25">
      <c r="A562" s="28">
        <v>4</v>
      </c>
      <c r="B562" s="14">
        <v>43746</v>
      </c>
      <c r="C562" s="15" t="str">
        <f>VLOOKUP(A562,Base!B:C,2,0)</f>
        <v>3.3.90.39.47 - SERVIÇO DE COMUNICAÇÃO EM GERAL</v>
      </c>
      <c r="D562" s="15" t="str">
        <f>VLOOKUP(A562,Base!B:D,3,0)</f>
        <v>DPTO DE IMPRENSA OFICIAL ESTADO DO PARANÁ</v>
      </c>
      <c r="E562" s="23" t="str">
        <f>VLOOKUP($A562,Base!B:E,4,0)</f>
        <v>76.437.383/0001-21</v>
      </c>
      <c r="F562" s="24" t="str">
        <f>VLOOKUP($A562,Base!B:F,5,0)</f>
        <v>NOTA FISCAL</v>
      </c>
      <c r="G562" s="23">
        <v>2019284503</v>
      </c>
      <c r="H562" s="17" t="s">
        <v>352</v>
      </c>
      <c r="I562" s="19"/>
      <c r="J562" s="20">
        <v>270</v>
      </c>
      <c r="K562" s="21">
        <f t="shared" si="8"/>
        <v>206.05999999994134</v>
      </c>
    </row>
    <row r="563" spans="1:11" ht="12" customHeight="1" x14ac:dyDescent="0.25">
      <c r="A563" s="28">
        <v>19</v>
      </c>
      <c r="B563" s="14">
        <v>43749</v>
      </c>
      <c r="C563" s="15" t="str">
        <f>VLOOKUP(A563,Base!B:C,2,0)</f>
        <v>CRÉDITO</v>
      </c>
      <c r="D563" s="15" t="str">
        <f>VLOOKUP(A563,Base!B:D,3,0)</f>
        <v>PALCOPARANÁ</v>
      </c>
      <c r="E563" s="23" t="str">
        <f>VLOOKUP($A563,Base!B:E,4,0)</f>
        <v>25.298.788/0001-95</v>
      </c>
      <c r="F563" s="24">
        <f>VLOOKUP($A563,Base!B:F,5,0)</f>
        <v>0</v>
      </c>
      <c r="G563" s="23"/>
      <c r="H563" s="17" t="s">
        <v>64</v>
      </c>
      <c r="I563" s="19">
        <v>1800000</v>
      </c>
      <c r="J563" s="20"/>
      <c r="K563" s="21">
        <f t="shared" si="8"/>
        <v>1800206.06</v>
      </c>
    </row>
    <row r="564" spans="1:11" ht="12" customHeight="1" x14ac:dyDescent="0.25">
      <c r="A564" s="28">
        <v>23</v>
      </c>
      <c r="B564" s="14">
        <v>43749</v>
      </c>
      <c r="C564" s="15" t="str">
        <f>VLOOKUP(A564,Base!B:C,2,0)</f>
        <v>TRANSFERÊNCIA CONTA DE RESERVA</v>
      </c>
      <c r="D564" s="15" t="str">
        <f>VLOOKUP(A564,Base!B:D,3,0)</f>
        <v>PALCOPARANÁ</v>
      </c>
      <c r="E564" s="23" t="str">
        <f>VLOOKUP($A564,Base!B:E,4,0)</f>
        <v>25.298.788/0001-95</v>
      </c>
      <c r="F564" s="24">
        <f>VLOOKUP($A564,Base!B:F,5,0)</f>
        <v>0</v>
      </c>
      <c r="G564" s="23"/>
      <c r="H564" s="17" t="s">
        <v>65</v>
      </c>
      <c r="I564" s="19"/>
      <c r="J564" s="20">
        <v>90000</v>
      </c>
      <c r="K564" s="21">
        <f t="shared" si="8"/>
        <v>1710206.06</v>
      </c>
    </row>
    <row r="565" spans="1:11" ht="12" customHeight="1" x14ac:dyDescent="0.25">
      <c r="A565" s="28">
        <v>24</v>
      </c>
      <c r="B565" s="14">
        <v>43752</v>
      </c>
      <c r="C565" s="15" t="str">
        <f>VLOOKUP(A565,Base!B:C,2,0)</f>
        <v>APLICAÇÃO</v>
      </c>
      <c r="D565" s="15" t="str">
        <f>VLOOKUP(A565,Base!B:D,3,0)</f>
        <v>PALCOPARANÁ</v>
      </c>
      <c r="E565" s="23" t="str">
        <f>VLOOKUP($A565,Base!B:E,4,0)</f>
        <v>25.298.788/0001-95</v>
      </c>
      <c r="F565" s="24">
        <f>VLOOKUP($A565,Base!B:F,5,0)</f>
        <v>0</v>
      </c>
      <c r="G565" s="23"/>
      <c r="H565" s="17" t="s">
        <v>156</v>
      </c>
      <c r="I565" s="19"/>
      <c r="J565" s="20">
        <v>1700000</v>
      </c>
      <c r="K565" s="21">
        <f t="shared" si="8"/>
        <v>10206.060000000056</v>
      </c>
    </row>
    <row r="566" spans="1:11" ht="12" customHeight="1" x14ac:dyDescent="0.25">
      <c r="A566" s="28">
        <v>4</v>
      </c>
      <c r="B566" s="14">
        <v>43753</v>
      </c>
      <c r="C566" s="15" t="str">
        <f>VLOOKUP(A566,Base!B:C,2,0)</f>
        <v>3.3.90.39.47 - SERVIÇO DE COMUNICAÇÃO EM GERAL</v>
      </c>
      <c r="D566" s="15" t="str">
        <f>VLOOKUP(A566,Base!B:D,3,0)</f>
        <v>DPTO DE IMPRENSA OFICIAL ESTADO DO PARANÁ</v>
      </c>
      <c r="E566" s="23" t="str">
        <f>VLOOKUP($A566,Base!B:E,4,0)</f>
        <v>76.437.383/0001-21</v>
      </c>
      <c r="F566" s="24" t="str">
        <f>VLOOKUP($A566,Base!B:F,5,0)</f>
        <v>NOTA FISCAL</v>
      </c>
      <c r="G566" s="23">
        <v>2019285183</v>
      </c>
      <c r="H566" s="17" t="s">
        <v>353</v>
      </c>
      <c r="I566" s="19"/>
      <c r="J566" s="20">
        <v>270</v>
      </c>
      <c r="K566" s="21">
        <f t="shared" si="8"/>
        <v>9936.0600000000559</v>
      </c>
    </row>
    <row r="567" spans="1:11" ht="12" customHeight="1" x14ac:dyDescent="0.25">
      <c r="A567" s="28">
        <v>39</v>
      </c>
      <c r="B567" s="14">
        <v>43754</v>
      </c>
      <c r="C567" s="15" t="str">
        <f>VLOOKUP(A567,Base!B:C,2,0)</f>
        <v>3.3.90.36.06 - SERVIÇOS TÉCNICOS PROFISSIONAIS</v>
      </c>
      <c r="D567" s="15" t="s">
        <v>354</v>
      </c>
      <c r="E567" s="23" t="s">
        <v>355</v>
      </c>
      <c r="F567" s="24" t="str">
        <f>VLOOKUP($A567,Base!B:F,5,0)</f>
        <v>RPA</v>
      </c>
      <c r="G567" s="23">
        <v>16</v>
      </c>
      <c r="H567" s="17" t="s">
        <v>356</v>
      </c>
      <c r="I567" s="19"/>
      <c r="J567" s="20">
        <v>715.3</v>
      </c>
      <c r="K567" s="21">
        <f t="shared" si="8"/>
        <v>9220.7600000000566</v>
      </c>
    </row>
    <row r="568" spans="1:11" ht="12" customHeight="1" x14ac:dyDescent="0.25">
      <c r="A568" s="28">
        <v>15</v>
      </c>
      <c r="B568" s="14">
        <v>43756</v>
      </c>
      <c r="C568" s="15" t="str">
        <f>VLOOKUP(A568,Base!B:C,2,0)</f>
        <v>3.1.90.11.61 - VENCIMENTOS E SALÁRIOS</v>
      </c>
      <c r="D568" s="15" t="str">
        <f>VLOOKUP(A568,Base!B:D,3,0)</f>
        <v>MINISTÉRIO DA FAZENDA - UNIÃO</v>
      </c>
      <c r="E568" s="23">
        <f>VLOOKUP($A568,Base!B:E,4,0)</f>
        <v>0</v>
      </c>
      <c r="F568" s="24" t="str">
        <f>VLOOKUP($A568,Base!B:F,5,0)</f>
        <v>DARF IRRF</v>
      </c>
      <c r="G568" s="23"/>
      <c r="H568" s="17" t="s">
        <v>357</v>
      </c>
      <c r="I568" s="19"/>
      <c r="J568" s="20">
        <v>20694.490000000002</v>
      </c>
      <c r="K568" s="21">
        <f t="shared" si="8"/>
        <v>-11473.729999999945</v>
      </c>
    </row>
    <row r="569" spans="1:11" ht="12" customHeight="1" x14ac:dyDescent="0.25">
      <c r="A569" s="28">
        <v>16</v>
      </c>
      <c r="B569" s="14">
        <v>43756</v>
      </c>
      <c r="C569" s="15" t="str">
        <f>VLOOKUP(A569,Base!B:C,2,0)</f>
        <v>3.1.90.13.01- CONTRIBUIÇÕES PREVIDENCIÁRIAS - INSS</v>
      </c>
      <c r="D569" s="15" t="str">
        <f>VLOOKUP(A569,Base!B:D,3,0)</f>
        <v>FUNDO DO REGIME GERAL DE PREVIDENCIA SOCIAL</v>
      </c>
      <c r="E569" s="23" t="str">
        <f>VLOOKUP($A569,Base!B:E,4,0)</f>
        <v>16.727.230/0001-97</v>
      </c>
      <c r="F569" s="24" t="str">
        <f>VLOOKUP($A569,Base!B:F,5,0)</f>
        <v>GPS</v>
      </c>
      <c r="G569" s="23"/>
      <c r="H569" s="17" t="s">
        <v>358</v>
      </c>
      <c r="I569" s="19"/>
      <c r="J569" s="20">
        <v>98181.41</v>
      </c>
      <c r="K569" s="21">
        <f t="shared" si="8"/>
        <v>-109655.13999999996</v>
      </c>
    </row>
    <row r="570" spans="1:11" ht="12" customHeight="1" x14ac:dyDescent="0.25">
      <c r="A570" s="28">
        <v>5</v>
      </c>
      <c r="B570" s="14">
        <v>43756</v>
      </c>
      <c r="C570" s="15" t="str">
        <f>VLOOKUP(A570,Base!B:C,2,0)</f>
        <v>RESGATE APLICAÇÃO</v>
      </c>
      <c r="D570" s="15" t="str">
        <f>VLOOKUP(A570,Base!B:D,3,0)</f>
        <v>PALCOPARANÁ</v>
      </c>
      <c r="E570" s="23" t="str">
        <f>VLOOKUP($A570,Base!B:E,4,0)</f>
        <v>25.298.788/0001-95</v>
      </c>
      <c r="F570" s="24">
        <f>VLOOKUP($A570,Base!B:F,5,0)</f>
        <v>0</v>
      </c>
      <c r="G570" s="23"/>
      <c r="H570" s="17" t="s">
        <v>13</v>
      </c>
      <c r="I570" s="19">
        <v>110000</v>
      </c>
      <c r="J570" s="20"/>
      <c r="K570" s="21">
        <f t="shared" si="8"/>
        <v>344.86000000004424</v>
      </c>
    </row>
    <row r="571" spans="1:11" ht="12" customHeight="1" x14ac:dyDescent="0.25">
      <c r="A571" s="28">
        <v>5</v>
      </c>
      <c r="B571" s="14">
        <v>43759</v>
      </c>
      <c r="C571" s="15" t="str">
        <f>VLOOKUP(A571,Base!B:C,2,0)</f>
        <v>RESGATE APLICAÇÃO</v>
      </c>
      <c r="D571" s="15" t="str">
        <f>VLOOKUP(A571,Base!B:D,3,0)</f>
        <v>PALCOPARANÁ</v>
      </c>
      <c r="E571" s="23" t="str">
        <f>VLOOKUP($A571,Base!B:E,4,0)</f>
        <v>25.298.788/0001-95</v>
      </c>
      <c r="F571" s="24">
        <f>VLOOKUP($A571,Base!B:F,5,0)</f>
        <v>0</v>
      </c>
      <c r="G571" s="23"/>
      <c r="H571" s="17" t="s">
        <v>13</v>
      </c>
      <c r="I571" s="19">
        <v>1436.6</v>
      </c>
      <c r="J571" s="20"/>
      <c r="K571" s="21">
        <f t="shared" si="8"/>
        <v>1781.4600000000441</v>
      </c>
    </row>
    <row r="572" spans="1:11" ht="12" customHeight="1" x14ac:dyDescent="0.25">
      <c r="A572" s="28">
        <v>30</v>
      </c>
      <c r="B572" s="14">
        <v>43759</v>
      </c>
      <c r="C572" s="15" t="str">
        <f>VLOOKUP(A572,Base!B:C,2,0)</f>
        <v>3.3.90.14.03 - AJUDA DE CUSTO PARA VIAGEM</v>
      </c>
      <c r="D572" s="15" t="str">
        <f>VLOOKUP(A572,Base!B:D,3,0)</f>
        <v>COLABORADORES DIVERSOS</v>
      </c>
      <c r="E572" s="23">
        <f>VLOOKUP($A572,Base!B:E,4,0)</f>
        <v>0</v>
      </c>
      <c r="F572" s="24" t="str">
        <f>VLOOKUP($A572,Base!B:F,5,0)</f>
        <v>RECIBO</v>
      </c>
      <c r="G572" s="23"/>
      <c r="H572" s="17" t="s">
        <v>359</v>
      </c>
      <c r="I572" s="19"/>
      <c r="J572" s="20">
        <v>2096</v>
      </c>
      <c r="K572" s="21">
        <f t="shared" si="8"/>
        <v>-314.53999999995585</v>
      </c>
    </row>
    <row r="573" spans="1:11" ht="12" customHeight="1" x14ac:dyDescent="0.25">
      <c r="A573" s="28">
        <v>31</v>
      </c>
      <c r="B573" s="14">
        <v>43759</v>
      </c>
      <c r="C573" s="15" t="str">
        <f>VLOOKUP(A573,Base!B:C,2,0)</f>
        <v>3.3.90.39.04 - DIREITOS AUTORAIS</v>
      </c>
      <c r="D573" s="15"/>
      <c r="E573" s="23">
        <f>VLOOKUP($A573,Base!B:E,4,0)</f>
        <v>0</v>
      </c>
      <c r="F573" s="24" t="str">
        <f>VLOOKUP($A573,Base!B:F,5,0)</f>
        <v>RECIBO</v>
      </c>
      <c r="G573" s="23"/>
      <c r="H573" s="17" t="s">
        <v>360</v>
      </c>
      <c r="I573" s="19"/>
      <c r="J573" s="20">
        <v>262</v>
      </c>
      <c r="K573" s="21">
        <f t="shared" si="8"/>
        <v>-576.53999999995585</v>
      </c>
    </row>
    <row r="574" spans="1:11" ht="12" customHeight="1" x14ac:dyDescent="0.25">
      <c r="A574" s="28">
        <v>13</v>
      </c>
      <c r="B574" s="14">
        <v>43759</v>
      </c>
      <c r="C574" s="15" t="str">
        <f>VLOOKUP(A574,Base!B:C,2,0)</f>
        <v>3.1.90.46.03 - AUXÍLIO-ALIMENTAÇÃO</v>
      </c>
      <c r="D574" s="15" t="s">
        <v>361</v>
      </c>
      <c r="E574" s="23" t="s">
        <v>362</v>
      </c>
      <c r="F574" s="24" t="str">
        <f>VLOOKUP($A574,Base!B:F,5,0)</f>
        <v>RECIBO</v>
      </c>
      <c r="G574" s="23"/>
      <c r="H574" s="17" t="s">
        <v>363</v>
      </c>
      <c r="I574" s="19"/>
      <c r="J574" s="20">
        <v>344</v>
      </c>
      <c r="K574" s="21">
        <f t="shared" si="8"/>
        <v>-920.53999999995585</v>
      </c>
    </row>
    <row r="575" spans="1:11" ht="12" customHeight="1" x14ac:dyDescent="0.25">
      <c r="A575" s="28">
        <v>5</v>
      </c>
      <c r="B575" s="14">
        <v>43759</v>
      </c>
      <c r="C575" s="15" t="str">
        <f>VLOOKUP(A575,Base!B:C,2,0)</f>
        <v>RESGATE APLICAÇÃO</v>
      </c>
      <c r="D575" s="15" t="str">
        <f>VLOOKUP(A575,Base!B:D,3,0)</f>
        <v>PALCOPARANÁ</v>
      </c>
      <c r="E575" s="23" t="str">
        <f>VLOOKUP($A575,Base!B:E,4,0)</f>
        <v>25.298.788/0001-95</v>
      </c>
      <c r="F575" s="24">
        <f>VLOOKUP($A575,Base!B:F,5,0)</f>
        <v>0</v>
      </c>
      <c r="G575" s="23"/>
      <c r="H575" s="17" t="s">
        <v>13</v>
      </c>
      <c r="I575" s="19">
        <v>1000</v>
      </c>
      <c r="J575" s="20"/>
      <c r="K575" s="21">
        <f t="shared" si="8"/>
        <v>79.460000000044147</v>
      </c>
    </row>
    <row r="576" spans="1:11" ht="12" customHeight="1" x14ac:dyDescent="0.25">
      <c r="A576" s="28">
        <v>5</v>
      </c>
      <c r="B576" s="14">
        <v>43760</v>
      </c>
      <c r="C576" s="15" t="str">
        <f>VLOOKUP(A576,Base!B:C,2,0)</f>
        <v>RESGATE APLICAÇÃO</v>
      </c>
      <c r="D576" s="15" t="str">
        <f>VLOOKUP(A576,Base!B:D,3,0)</f>
        <v>PALCOPARANÁ</v>
      </c>
      <c r="E576" s="23" t="str">
        <f>VLOOKUP($A576,Base!B:E,4,0)</f>
        <v>25.298.788/0001-95</v>
      </c>
      <c r="F576" s="24">
        <f>VLOOKUP($A576,Base!B:F,5,0)</f>
        <v>0</v>
      </c>
      <c r="G576" s="23"/>
      <c r="H576" s="17" t="s">
        <v>13</v>
      </c>
      <c r="I576" s="19">
        <v>13.26</v>
      </c>
      <c r="J576" s="20"/>
      <c r="K576" s="21">
        <f t="shared" si="8"/>
        <v>92.720000000044152</v>
      </c>
    </row>
    <row r="577" spans="1:11" ht="12" customHeight="1" x14ac:dyDescent="0.25">
      <c r="A577" s="28">
        <v>4</v>
      </c>
      <c r="B577" s="14">
        <v>43760</v>
      </c>
      <c r="C577" s="15" t="str">
        <f>VLOOKUP(A577,Base!B:C,2,0)</f>
        <v>3.3.90.39.47 - SERVIÇO DE COMUNICAÇÃO EM GERAL</v>
      </c>
      <c r="D577" s="15" t="str">
        <f>VLOOKUP(A577,Base!B:D,3,0)</f>
        <v>DPTO DE IMPRENSA OFICIAL ESTADO DO PARANÁ</v>
      </c>
      <c r="E577" s="23" t="str">
        <f>VLOOKUP($A577,Base!B:E,4,0)</f>
        <v>76.437.383/0001-21</v>
      </c>
      <c r="F577" s="24" t="str">
        <f>VLOOKUP($A577,Base!B:F,5,0)</f>
        <v>NOTA FISCAL</v>
      </c>
      <c r="G577" s="23">
        <v>2019285827</v>
      </c>
      <c r="H577" s="17" t="s">
        <v>364</v>
      </c>
      <c r="I577" s="19"/>
      <c r="J577" s="20">
        <v>270</v>
      </c>
      <c r="K577" s="21">
        <f t="shared" si="8"/>
        <v>-177.27999999995586</v>
      </c>
    </row>
    <row r="578" spans="1:11" ht="12" customHeight="1" x14ac:dyDescent="0.25">
      <c r="A578" s="28">
        <v>5</v>
      </c>
      <c r="B578" s="14">
        <v>43760</v>
      </c>
      <c r="C578" s="15" t="str">
        <f>VLOOKUP(A578,Base!B:C,2,0)</f>
        <v>RESGATE APLICAÇÃO</v>
      </c>
      <c r="D578" s="15" t="str">
        <f>VLOOKUP(A578,Base!B:D,3,0)</f>
        <v>PALCOPARANÁ</v>
      </c>
      <c r="E578" s="23" t="str">
        <f>VLOOKUP($A578,Base!B:E,4,0)</f>
        <v>25.298.788/0001-95</v>
      </c>
      <c r="F578" s="24">
        <f>VLOOKUP($A578,Base!B:F,5,0)</f>
        <v>0</v>
      </c>
      <c r="G578" s="23"/>
      <c r="H578" s="17" t="s">
        <v>13</v>
      </c>
      <c r="I578" s="19">
        <v>500</v>
      </c>
      <c r="J578" s="20"/>
      <c r="K578" s="21">
        <f t="shared" si="8"/>
        <v>322.72000000004414</v>
      </c>
    </row>
    <row r="579" spans="1:11" ht="12" customHeight="1" x14ac:dyDescent="0.25">
      <c r="A579" s="28">
        <v>5</v>
      </c>
      <c r="B579" s="14">
        <v>43761</v>
      </c>
      <c r="C579" s="15" t="str">
        <f>VLOOKUP(A579,Base!B:C,2,0)</f>
        <v>RESGATE APLICAÇÃO</v>
      </c>
      <c r="D579" s="15" t="str">
        <f>VLOOKUP(A579,Base!B:D,3,0)</f>
        <v>PALCOPARANÁ</v>
      </c>
      <c r="E579" s="23" t="str">
        <f>VLOOKUP($A579,Base!B:E,4,0)</f>
        <v>25.298.788/0001-95</v>
      </c>
      <c r="F579" s="24">
        <f>VLOOKUP($A579,Base!B:F,5,0)</f>
        <v>0</v>
      </c>
      <c r="G579" s="23"/>
      <c r="H579" s="17" t="s">
        <v>13</v>
      </c>
      <c r="I579" s="19">
        <v>6.73</v>
      </c>
      <c r="J579" s="20"/>
      <c r="K579" s="21">
        <f t="shared" ref="K579:K642" si="9">K578+I579-J579</f>
        <v>329.45000000004416</v>
      </c>
    </row>
    <row r="580" spans="1:11" ht="12" customHeight="1" x14ac:dyDescent="0.25">
      <c r="A580" s="28">
        <v>30</v>
      </c>
      <c r="B580" s="14">
        <v>43761</v>
      </c>
      <c r="C580" s="15" t="str">
        <f>VLOOKUP(A580,Base!B:C,2,0)</f>
        <v>3.3.90.14.03 - AJUDA DE CUSTO PARA VIAGEM</v>
      </c>
      <c r="D580" s="15" t="str">
        <f>VLOOKUP(A580,Base!B:D,3,0)</f>
        <v>COLABORADORES DIVERSOS</v>
      </c>
      <c r="E580" s="23">
        <f>VLOOKUP($A580,Base!B:E,4,0)</f>
        <v>0</v>
      </c>
      <c r="F580" s="24" t="str">
        <f>VLOOKUP($A580,Base!B:F,5,0)</f>
        <v>RECIBO</v>
      </c>
      <c r="G580" s="23"/>
      <c r="H580" s="17" t="s">
        <v>365</v>
      </c>
      <c r="I580" s="19"/>
      <c r="J580" s="20">
        <v>2096</v>
      </c>
      <c r="K580" s="21">
        <f t="shared" si="9"/>
        <v>-1766.5499999999558</v>
      </c>
    </row>
    <row r="581" spans="1:11" ht="12" customHeight="1" x14ac:dyDescent="0.25">
      <c r="A581" s="28">
        <v>31</v>
      </c>
      <c r="B581" s="14">
        <v>43761</v>
      </c>
      <c r="C581" s="15" t="str">
        <f>VLOOKUP(A581,Base!B:C,2,0)</f>
        <v>3.3.90.39.04 - DIREITOS AUTORAIS</v>
      </c>
      <c r="D581" s="15"/>
      <c r="E581" s="23">
        <f>VLOOKUP($A581,Base!B:E,4,0)</f>
        <v>0</v>
      </c>
      <c r="F581" s="24" t="str">
        <f>VLOOKUP($A581,Base!B:F,5,0)</f>
        <v>RECIBO</v>
      </c>
      <c r="G581" s="23"/>
      <c r="H581" s="17" t="s">
        <v>366</v>
      </c>
      <c r="I581" s="19"/>
      <c r="J581" s="20">
        <v>262</v>
      </c>
      <c r="K581" s="21">
        <f t="shared" si="9"/>
        <v>-2028.5499999999558</v>
      </c>
    </row>
    <row r="582" spans="1:11" ht="12" customHeight="1" x14ac:dyDescent="0.25">
      <c r="A582" s="28">
        <v>31</v>
      </c>
      <c r="B582" s="14">
        <v>43761</v>
      </c>
      <c r="C582" s="15" t="str">
        <f>VLOOKUP(A582,Base!B:C,2,0)</f>
        <v>3.3.90.39.04 - DIREITOS AUTORAIS</v>
      </c>
      <c r="D582" s="15" t="s">
        <v>367</v>
      </c>
      <c r="E582" s="23" t="s">
        <v>368</v>
      </c>
      <c r="F582" s="24" t="str">
        <f>VLOOKUP($A582,Base!B:F,5,0)</f>
        <v>RECIBO</v>
      </c>
      <c r="G582" s="23"/>
      <c r="H582" s="17" t="s">
        <v>365</v>
      </c>
      <c r="I582" s="19"/>
      <c r="J582" s="20">
        <v>131</v>
      </c>
      <c r="K582" s="21">
        <f t="shared" si="9"/>
        <v>-2159.5499999999556</v>
      </c>
    </row>
    <row r="583" spans="1:11" ht="12" customHeight="1" x14ac:dyDescent="0.25">
      <c r="A583" s="28">
        <v>27</v>
      </c>
      <c r="B583" s="14">
        <v>43761</v>
      </c>
      <c r="C583" s="15" t="str">
        <f>VLOOKUP(A583,Base!B:C,2,0)</f>
        <v>3.1.90.11.64 - FÉRIAS VENCIDAS OU PROPORCIONAIS - RGPS</v>
      </c>
      <c r="D583" s="15" t="s">
        <v>203</v>
      </c>
      <c r="E583" s="23" t="s">
        <v>204</v>
      </c>
      <c r="F583" s="24" t="str">
        <f>VLOOKUP($A583,Base!B:F,5,0)</f>
        <v>RECIBO</v>
      </c>
      <c r="G583" s="23"/>
      <c r="H583" s="17" t="s">
        <v>369</v>
      </c>
      <c r="I583" s="19"/>
      <c r="J583" s="20">
        <v>4179.8500000000004</v>
      </c>
      <c r="K583" s="21">
        <f t="shared" si="9"/>
        <v>-6339.399999999956</v>
      </c>
    </row>
    <row r="584" spans="1:11" ht="12" customHeight="1" x14ac:dyDescent="0.25">
      <c r="A584" s="28">
        <v>9</v>
      </c>
      <c r="B584" s="14">
        <v>43761</v>
      </c>
      <c r="C584" s="15" t="str">
        <f>VLOOKUP(A584,Base!B:C,2,0)</f>
        <v>3.3.90.39.12 - LOCAÇÃO DE MÁQUINAS E EQUIPAMENTOS</v>
      </c>
      <c r="D584" s="15" t="str">
        <f>VLOOKUP(A584,Base!B:D,3,0)</f>
        <v>INTERATIVA SOLUÇÕES EM INFORMATICA LTDA</v>
      </c>
      <c r="E584" s="23" t="str">
        <f>VLOOKUP($A584,Base!B:E,4,0)</f>
        <v>04.192.385/0001-97</v>
      </c>
      <c r="F584" s="24" t="str">
        <f>VLOOKUP($A584,Base!B:F,5,0)</f>
        <v>NFS-e</v>
      </c>
      <c r="G584" s="23">
        <v>7108</v>
      </c>
      <c r="H584" s="17" t="s">
        <v>21</v>
      </c>
      <c r="I584" s="19"/>
      <c r="J584" s="20">
        <v>1167</v>
      </c>
      <c r="K584" s="21">
        <f t="shared" si="9"/>
        <v>-7506.399999999956</v>
      </c>
    </row>
    <row r="585" spans="1:11" ht="12" customHeight="1" x14ac:dyDescent="0.25">
      <c r="A585" s="28">
        <v>31</v>
      </c>
      <c r="B585" s="14">
        <v>43761</v>
      </c>
      <c r="C585" s="15" t="str">
        <f>VLOOKUP(A585,Base!B:C,2,0)</f>
        <v>3.3.90.39.04 - DIREITOS AUTORAIS</v>
      </c>
      <c r="D585" s="15" t="s">
        <v>68</v>
      </c>
      <c r="E585" s="23" t="s">
        <v>69</v>
      </c>
      <c r="F585" s="24" t="str">
        <f>VLOOKUP($A585,Base!B:F,5,0)</f>
        <v>RECIBO</v>
      </c>
      <c r="G585" s="23" t="s">
        <v>370</v>
      </c>
      <c r="H585" s="17" t="s">
        <v>359</v>
      </c>
      <c r="I585" s="19"/>
      <c r="J585" s="20">
        <v>131</v>
      </c>
      <c r="K585" s="21">
        <f t="shared" si="9"/>
        <v>-7637.399999999956</v>
      </c>
    </row>
    <row r="586" spans="1:11" ht="12" customHeight="1" x14ac:dyDescent="0.25">
      <c r="A586" s="28">
        <v>31</v>
      </c>
      <c r="B586" s="14">
        <v>43761</v>
      </c>
      <c r="C586" s="15" t="str">
        <f>VLOOKUP(A586,Base!B:C,2,0)</f>
        <v>3.3.90.39.04 - DIREITOS AUTORAIS</v>
      </c>
      <c r="D586" s="15" t="s">
        <v>36</v>
      </c>
      <c r="E586" s="23" t="s">
        <v>37</v>
      </c>
      <c r="F586" s="24" t="str">
        <f>VLOOKUP($A586,Base!B:F,5,0)</f>
        <v>RECIBO</v>
      </c>
      <c r="G586" s="23" t="s">
        <v>371</v>
      </c>
      <c r="H586" s="17" t="s">
        <v>359</v>
      </c>
      <c r="I586" s="19"/>
      <c r="J586" s="20">
        <v>131</v>
      </c>
      <c r="K586" s="21">
        <f t="shared" si="9"/>
        <v>-7768.399999999956</v>
      </c>
    </row>
    <row r="587" spans="1:11" ht="12" customHeight="1" x14ac:dyDescent="0.25">
      <c r="A587" s="28">
        <v>4</v>
      </c>
      <c r="B587" s="14">
        <v>43761</v>
      </c>
      <c r="C587" s="15" t="str">
        <f>VLOOKUP(A587,Base!B:C,2,0)</f>
        <v>3.3.90.39.47 - SERVIÇO DE COMUNICAÇÃO EM GERAL</v>
      </c>
      <c r="D587" s="15" t="str">
        <f>VLOOKUP(A587,Base!B:D,3,0)</f>
        <v>DPTO DE IMPRENSA OFICIAL ESTADO DO PARANÁ</v>
      </c>
      <c r="E587" s="23" t="str">
        <f>VLOOKUP($A587,Base!B:E,4,0)</f>
        <v>76.437.383/0001-21</v>
      </c>
      <c r="F587" s="24" t="str">
        <f>VLOOKUP($A587,Base!B:F,5,0)</f>
        <v>NOTA FISCAL</v>
      </c>
      <c r="G587" s="23">
        <v>2019285991</v>
      </c>
      <c r="H587" s="17" t="s">
        <v>372</v>
      </c>
      <c r="I587" s="19"/>
      <c r="J587" s="20">
        <v>270</v>
      </c>
      <c r="K587" s="21">
        <f t="shared" si="9"/>
        <v>-8038.399999999956</v>
      </c>
    </row>
    <row r="588" spans="1:11" ht="12" customHeight="1" x14ac:dyDescent="0.25">
      <c r="A588" s="28">
        <v>4</v>
      </c>
      <c r="B588" s="14">
        <v>43761</v>
      </c>
      <c r="C588" s="15" t="str">
        <f>VLOOKUP(A588,Base!B:C,2,0)</f>
        <v>3.3.90.39.47 - SERVIÇO DE COMUNICAÇÃO EM GERAL</v>
      </c>
      <c r="D588" s="15" t="str">
        <f>VLOOKUP(A588,Base!B:D,3,0)</f>
        <v>DPTO DE IMPRENSA OFICIAL ESTADO DO PARANÁ</v>
      </c>
      <c r="E588" s="23" t="str">
        <f>VLOOKUP($A588,Base!B:E,4,0)</f>
        <v>76.437.383/0001-21</v>
      </c>
      <c r="F588" s="24" t="str">
        <f>VLOOKUP($A588,Base!B:F,5,0)</f>
        <v>NOTA FISCAL</v>
      </c>
      <c r="G588" s="23">
        <v>2019285989</v>
      </c>
      <c r="H588" s="17" t="s">
        <v>373</v>
      </c>
      <c r="I588" s="19"/>
      <c r="J588" s="20">
        <v>390</v>
      </c>
      <c r="K588" s="21">
        <f t="shared" si="9"/>
        <v>-8428.399999999956</v>
      </c>
    </row>
    <row r="589" spans="1:11" ht="12" customHeight="1" x14ac:dyDescent="0.25">
      <c r="A589" s="28">
        <v>14</v>
      </c>
      <c r="B589" s="14">
        <v>43761</v>
      </c>
      <c r="C589" s="15" t="str">
        <f>VLOOKUP(A589,Base!B:C,2,0)</f>
        <v>3.3.90.39.39 - ENCARGOS FINANCEIROS INDEDUTÍVEIS</v>
      </c>
      <c r="D589" s="15"/>
      <c r="E589" s="23"/>
      <c r="F589" s="24" t="str">
        <f>VLOOKUP($A589,Base!B:F,5,0)</f>
        <v>AVISO DE DÉBITO</v>
      </c>
      <c r="G589" s="23"/>
      <c r="H589" s="17" t="s">
        <v>374</v>
      </c>
      <c r="I589" s="19"/>
      <c r="J589" s="20">
        <v>10.45</v>
      </c>
      <c r="K589" s="21">
        <f t="shared" si="9"/>
        <v>-8438.8499999999567</v>
      </c>
    </row>
    <row r="590" spans="1:11" ht="12" customHeight="1" x14ac:dyDescent="0.25">
      <c r="A590" s="28">
        <v>14</v>
      </c>
      <c r="B590" s="14">
        <v>43761</v>
      </c>
      <c r="C590" s="15" t="str">
        <f>VLOOKUP(A590,Base!B:C,2,0)</f>
        <v>3.3.90.39.39 - ENCARGOS FINANCEIROS INDEDUTÍVEIS</v>
      </c>
      <c r="D590" s="15" t="str">
        <f>VLOOKUP(A590,Base!B:D,3,0)</f>
        <v>BANCO DO BRASIL</v>
      </c>
      <c r="E590" s="23">
        <f>VLOOKUP($A590,Base!B:E,4,0)</f>
        <v>191</v>
      </c>
      <c r="F590" s="24" t="str">
        <f>VLOOKUP($A590,Base!B:F,5,0)</f>
        <v>AVISO DE DÉBITO</v>
      </c>
      <c r="G590" s="23"/>
      <c r="H590" s="17" t="s">
        <v>374</v>
      </c>
      <c r="I590" s="19"/>
      <c r="J590" s="20">
        <v>10.45</v>
      </c>
      <c r="K590" s="21">
        <f t="shared" si="9"/>
        <v>-8449.2999999999574</v>
      </c>
    </row>
    <row r="591" spans="1:11" ht="12" customHeight="1" x14ac:dyDescent="0.25">
      <c r="A591" s="28">
        <v>5</v>
      </c>
      <c r="B591" s="14">
        <v>43761</v>
      </c>
      <c r="C591" s="15" t="str">
        <f>VLOOKUP(A591,Base!B:C,2,0)</f>
        <v>RESGATE APLICAÇÃO</v>
      </c>
      <c r="D591" s="15" t="str">
        <f>VLOOKUP(A591,Base!B:D,3,0)</f>
        <v>PALCOPARANÁ</v>
      </c>
      <c r="E591" s="23" t="str">
        <f>VLOOKUP($A591,Base!B:E,4,0)</f>
        <v>25.298.788/0001-95</v>
      </c>
      <c r="F591" s="24">
        <f>VLOOKUP($A591,Base!B:F,5,0)</f>
        <v>0</v>
      </c>
      <c r="G591" s="23"/>
      <c r="H591" s="17" t="s">
        <v>13</v>
      </c>
      <c r="I591" s="19">
        <v>8500</v>
      </c>
      <c r="J591" s="20"/>
      <c r="K591" s="21">
        <f t="shared" si="9"/>
        <v>50.700000000042564</v>
      </c>
    </row>
    <row r="592" spans="1:11" ht="12" customHeight="1" x14ac:dyDescent="0.25">
      <c r="A592" s="28">
        <v>5</v>
      </c>
      <c r="B592" s="14">
        <v>43762</v>
      </c>
      <c r="C592" s="15" t="str">
        <f>VLOOKUP(A592,Base!B:C,2,0)</f>
        <v>RESGATE APLICAÇÃO</v>
      </c>
      <c r="D592" s="15" t="str">
        <f>VLOOKUP(A592,Base!B:D,3,0)</f>
        <v>PALCOPARANÁ</v>
      </c>
      <c r="E592" s="23" t="str">
        <f>VLOOKUP($A592,Base!B:E,4,0)</f>
        <v>25.298.788/0001-95</v>
      </c>
      <c r="F592" s="24">
        <f>VLOOKUP($A592,Base!B:F,5,0)</f>
        <v>0</v>
      </c>
      <c r="G592" s="23"/>
      <c r="H592" s="17" t="s">
        <v>13</v>
      </c>
      <c r="I592" s="19">
        <v>116.11</v>
      </c>
      <c r="J592" s="20"/>
      <c r="K592" s="21">
        <f t="shared" si="9"/>
        <v>166.81000000004258</v>
      </c>
    </row>
    <row r="593" spans="1:11" ht="12" customHeight="1" x14ac:dyDescent="0.25">
      <c r="A593" s="28">
        <v>20</v>
      </c>
      <c r="B593" s="14">
        <v>43763</v>
      </c>
      <c r="C593" s="15" t="str">
        <f>VLOOKUP(A593,Base!B:C,2,0)</f>
        <v>3.1.90.47.01 - PIS/PASEP</v>
      </c>
      <c r="D593" s="15" t="str">
        <f>VLOOKUP(A593,Base!B:D,3,0)</f>
        <v>MINISTÉRIO DA FAZENDA - UNIÃO</v>
      </c>
      <c r="E593" s="23" t="str">
        <f>VLOOKUP($A593,Base!B:E,4,0)</f>
        <v>25.298.788/0001-95 -8301</v>
      </c>
      <c r="F593" s="24" t="str">
        <f>VLOOKUP($A593,Base!B:F,5,0)</f>
        <v>DARF PIS</v>
      </c>
      <c r="G593" s="23"/>
      <c r="H593" s="17" t="s">
        <v>375</v>
      </c>
      <c r="I593" s="19"/>
      <c r="J593" s="20">
        <v>2662.13</v>
      </c>
      <c r="K593" s="21">
        <f t="shared" si="9"/>
        <v>-2495.3199999999574</v>
      </c>
    </row>
    <row r="594" spans="1:11" ht="12" customHeight="1" x14ac:dyDescent="0.25">
      <c r="A594" s="28">
        <v>40</v>
      </c>
      <c r="B594" s="14">
        <v>43763</v>
      </c>
      <c r="C594" s="15" t="str">
        <f>VLOOKUP(A594,Base!B:C,2,0)</f>
        <v>3.3.90.39.88 - SERVIÇOS DE PUBLICIDADE E PROPAGANDA</v>
      </c>
      <c r="D594" s="15" t="str">
        <f>VLOOKUP(A594,Base!B:D,3,0)</f>
        <v>CLASSICOS EDITORIAL LTDA</v>
      </c>
      <c r="E594" s="23" t="str">
        <f>VLOOKUP($A594,Base!B:E,4,0)</f>
        <v>00.723.345/0001-73</v>
      </c>
      <c r="F594" s="24" t="str">
        <f>VLOOKUP($A594,Base!B:F,5,0)</f>
        <v>NFS-e</v>
      </c>
      <c r="G594" s="23">
        <v>460</v>
      </c>
      <c r="H594" s="17" t="s">
        <v>376</v>
      </c>
      <c r="I594" s="19"/>
      <c r="J594" s="20">
        <v>7000</v>
      </c>
      <c r="K594" s="21">
        <f t="shared" si="9"/>
        <v>-9495.3199999999579</v>
      </c>
    </row>
    <row r="595" spans="1:11" ht="12" customHeight="1" x14ac:dyDescent="0.25">
      <c r="A595" s="28">
        <v>31</v>
      </c>
      <c r="B595" s="14">
        <v>43763</v>
      </c>
      <c r="C595" s="15" t="str">
        <f>VLOOKUP(A595,Base!B:C,2,0)</f>
        <v>3.3.90.39.04 - DIREITOS AUTORAIS</v>
      </c>
      <c r="D595" s="15" t="s">
        <v>36</v>
      </c>
      <c r="E595" s="23" t="s">
        <v>37</v>
      </c>
      <c r="F595" s="24" t="str">
        <f>VLOOKUP($A595,Base!B:F,5,0)</f>
        <v>RECIBO</v>
      </c>
      <c r="G595" s="23"/>
      <c r="H595" s="17" t="s">
        <v>365</v>
      </c>
      <c r="I595" s="19"/>
      <c r="J595" s="20">
        <v>131</v>
      </c>
      <c r="K595" s="21">
        <f t="shared" si="9"/>
        <v>-9626.3199999999579</v>
      </c>
    </row>
    <row r="596" spans="1:11" ht="12" customHeight="1" x14ac:dyDescent="0.25">
      <c r="A596" s="28">
        <v>31</v>
      </c>
      <c r="B596" s="14">
        <v>43763</v>
      </c>
      <c r="C596" s="15" t="str">
        <f>VLOOKUP(A596,Base!B:C,2,0)</f>
        <v>3.3.90.39.04 - DIREITOS AUTORAIS</v>
      </c>
      <c r="D596" s="15" t="s">
        <v>68</v>
      </c>
      <c r="E596" s="23" t="s">
        <v>69</v>
      </c>
      <c r="F596" s="24" t="str">
        <f>VLOOKUP($A596,Base!B:F,5,0)</f>
        <v>RECIBO</v>
      </c>
      <c r="G596" s="23"/>
      <c r="H596" s="17" t="s">
        <v>365</v>
      </c>
      <c r="I596" s="19"/>
      <c r="J596" s="20">
        <v>131</v>
      </c>
      <c r="K596" s="21">
        <f t="shared" si="9"/>
        <v>-9757.3199999999579</v>
      </c>
    </row>
    <row r="597" spans="1:11" ht="12" customHeight="1" x14ac:dyDescent="0.25">
      <c r="A597" s="28">
        <v>4</v>
      </c>
      <c r="B597" s="14">
        <v>43763</v>
      </c>
      <c r="C597" s="15" t="str">
        <f>VLOOKUP(A597,Base!B:C,2,0)</f>
        <v>3.3.90.39.47 - SERVIÇO DE COMUNICAÇÃO EM GERAL</v>
      </c>
      <c r="D597" s="15" t="str">
        <f>VLOOKUP(A597,Base!B:D,3,0)</f>
        <v>DPTO DE IMPRENSA OFICIAL ESTADO DO PARANÁ</v>
      </c>
      <c r="E597" s="23" t="str">
        <f>VLOOKUP($A597,Base!B:E,4,0)</f>
        <v>76.437.383/0001-21</v>
      </c>
      <c r="F597" s="24" t="str">
        <f>VLOOKUP($A597,Base!B:F,5,0)</f>
        <v>NOTA FISCAL</v>
      </c>
      <c r="G597" s="23">
        <v>2019286152</v>
      </c>
      <c r="H597" s="17" t="s">
        <v>377</v>
      </c>
      <c r="I597" s="19"/>
      <c r="J597" s="20">
        <v>150</v>
      </c>
      <c r="K597" s="21">
        <f t="shared" si="9"/>
        <v>-9907.3199999999579</v>
      </c>
    </row>
    <row r="598" spans="1:11" ht="12" customHeight="1" x14ac:dyDescent="0.25">
      <c r="A598" s="28">
        <v>14</v>
      </c>
      <c r="B598" s="14">
        <v>43763</v>
      </c>
      <c r="C598" s="15" t="str">
        <f>VLOOKUP(A598,Base!B:C,2,0)</f>
        <v>3.3.90.39.39 - ENCARGOS FINANCEIROS INDEDUTÍVEIS</v>
      </c>
      <c r="D598" s="15" t="str">
        <f>VLOOKUP(A598,Base!B:D,3,0)</f>
        <v>BANCO DO BRASIL</v>
      </c>
      <c r="E598" s="23">
        <f>VLOOKUP($A598,Base!B:E,4,0)</f>
        <v>191</v>
      </c>
      <c r="F598" s="24" t="str">
        <f>VLOOKUP($A598,Base!B:F,5,0)</f>
        <v>AVISO DE DÉBITO</v>
      </c>
      <c r="G598" s="23"/>
      <c r="H598" s="17" t="s">
        <v>374</v>
      </c>
      <c r="I598" s="19"/>
      <c r="J598" s="20">
        <v>10.45</v>
      </c>
      <c r="K598" s="21">
        <f t="shared" si="9"/>
        <v>-9917.7699999999586</v>
      </c>
    </row>
    <row r="599" spans="1:11" ht="12" customHeight="1" x14ac:dyDescent="0.25">
      <c r="A599" s="28">
        <v>14</v>
      </c>
      <c r="B599" s="14">
        <v>43763</v>
      </c>
      <c r="C599" s="15" t="str">
        <f>VLOOKUP(A599,Base!B:C,2,0)</f>
        <v>3.3.90.39.39 - ENCARGOS FINANCEIROS INDEDUTÍVEIS</v>
      </c>
      <c r="D599" s="15" t="str">
        <f>VLOOKUP(A599,Base!B:D,3,0)</f>
        <v>BANCO DO BRASIL</v>
      </c>
      <c r="E599" s="23">
        <f>VLOOKUP($A599,Base!B:E,4,0)</f>
        <v>191</v>
      </c>
      <c r="F599" s="24" t="str">
        <f>VLOOKUP($A599,Base!B:F,5,0)</f>
        <v>AVISO DE DÉBITO</v>
      </c>
      <c r="G599" s="23"/>
      <c r="H599" s="17" t="s">
        <v>374</v>
      </c>
      <c r="I599" s="19"/>
      <c r="J599" s="20">
        <v>10.45</v>
      </c>
      <c r="K599" s="21">
        <f t="shared" si="9"/>
        <v>-9928.2199999999593</v>
      </c>
    </row>
    <row r="600" spans="1:11" ht="12" customHeight="1" x14ac:dyDescent="0.25">
      <c r="A600" s="28">
        <v>5</v>
      </c>
      <c r="B600" s="14">
        <v>43763</v>
      </c>
      <c r="C600" s="15" t="str">
        <f>VLOOKUP(A600,Base!B:C,2,0)</f>
        <v>RESGATE APLICAÇÃO</v>
      </c>
      <c r="D600" s="15" t="str">
        <f>VLOOKUP(A600,Base!B:D,3,0)</f>
        <v>PALCOPARANÁ</v>
      </c>
      <c r="E600" s="23" t="str">
        <f>VLOOKUP($A600,Base!B:E,4,0)</f>
        <v>25.298.788/0001-95</v>
      </c>
      <c r="F600" s="24">
        <f>VLOOKUP($A600,Base!B:F,5,0)</f>
        <v>0</v>
      </c>
      <c r="G600" s="23"/>
      <c r="H600" s="17" t="s">
        <v>13</v>
      </c>
      <c r="I600" s="19">
        <v>10000</v>
      </c>
      <c r="J600" s="20"/>
      <c r="K600" s="21">
        <f t="shared" si="9"/>
        <v>71.780000000040673</v>
      </c>
    </row>
    <row r="601" spans="1:11" ht="12" customHeight="1" x14ac:dyDescent="0.25">
      <c r="A601" s="28">
        <v>5</v>
      </c>
      <c r="B601" s="14">
        <v>43763</v>
      </c>
      <c r="C601" s="15" t="str">
        <f>VLOOKUP(A601,Base!B:C,2,0)</f>
        <v>RESGATE APLICAÇÃO</v>
      </c>
      <c r="D601" s="15" t="str">
        <f>VLOOKUP(A601,Base!B:D,3,0)</f>
        <v>PALCOPARANÁ</v>
      </c>
      <c r="E601" s="23" t="str">
        <f>VLOOKUP($A601,Base!B:E,4,0)</f>
        <v>25.298.788/0001-95</v>
      </c>
      <c r="F601" s="24">
        <f>VLOOKUP($A601,Base!B:F,5,0)</f>
        <v>0</v>
      </c>
      <c r="G601" s="23"/>
      <c r="H601" s="17" t="s">
        <v>13</v>
      </c>
      <c r="I601" s="19">
        <v>140.6</v>
      </c>
      <c r="J601" s="20"/>
      <c r="K601" s="21">
        <f t="shared" si="9"/>
        <v>212.38000000004067</v>
      </c>
    </row>
    <row r="602" spans="1:11" ht="12" customHeight="1" x14ac:dyDescent="0.25">
      <c r="A602" s="28">
        <v>3</v>
      </c>
      <c r="B602" s="14">
        <v>43768</v>
      </c>
      <c r="C602" s="15" t="str">
        <f>VLOOKUP(A602,Base!B:C,2,0)</f>
        <v>3.1.90.46.03 - AUXÍLIO-ALIMENTAÇÃO</v>
      </c>
      <c r="D602" s="15" t="str">
        <f>VLOOKUP(A602,Base!B:D,3,0)</f>
        <v>COLABORADORES DIVERSOS</v>
      </c>
      <c r="E602" s="23">
        <f>VLOOKUP($A602,Base!B:E,4,0)</f>
        <v>0</v>
      </c>
      <c r="F602" s="24" t="str">
        <f>VLOOKUP($A602,Base!B:F,5,0)</f>
        <v>RECIBO</v>
      </c>
      <c r="G602" s="23"/>
      <c r="H602" s="17" t="s">
        <v>378</v>
      </c>
      <c r="I602" s="19"/>
      <c r="J602" s="20">
        <v>8336</v>
      </c>
      <c r="K602" s="21">
        <f t="shared" si="9"/>
        <v>-8123.619999999959</v>
      </c>
    </row>
    <row r="603" spans="1:11" ht="12" customHeight="1" x14ac:dyDescent="0.25">
      <c r="A603" s="28">
        <v>13</v>
      </c>
      <c r="B603" s="14">
        <v>43768</v>
      </c>
      <c r="C603" s="15" t="str">
        <f>VLOOKUP(A603,Base!B:C,2,0)</f>
        <v>3.1.90.46.03 - AUXÍLIO-ALIMENTAÇÃO</v>
      </c>
      <c r="D603" s="15"/>
      <c r="E603" s="23">
        <f>VLOOKUP($A603,Base!B:E,4,0)</f>
        <v>0</v>
      </c>
      <c r="F603" s="24" t="str">
        <f>VLOOKUP($A603,Base!B:F,5,0)</f>
        <v>RECIBO</v>
      </c>
      <c r="G603" s="23"/>
      <c r="H603" s="17" t="s">
        <v>379</v>
      </c>
      <c r="I603" s="19"/>
      <c r="J603" s="20">
        <v>928</v>
      </c>
      <c r="K603" s="21">
        <f t="shared" si="9"/>
        <v>-9051.619999999959</v>
      </c>
    </row>
    <row r="604" spans="1:11" ht="12" customHeight="1" x14ac:dyDescent="0.25">
      <c r="A604" s="28">
        <v>1</v>
      </c>
      <c r="B604" s="14">
        <v>43768</v>
      </c>
      <c r="C604" s="15" t="str">
        <f>VLOOKUP(A604,Base!B:C,2,0)</f>
        <v>3.1.90.11.61 - VENCIMENTOS E SALÁRIOS</v>
      </c>
      <c r="D604" s="15" t="str">
        <f>VLOOKUP(A604,Base!B:D,3,0)</f>
        <v>COLABORADORES DIVERSOS</v>
      </c>
      <c r="E604" s="23">
        <f>VLOOKUP($A604,Base!B:E,4,0)</f>
        <v>0</v>
      </c>
      <c r="F604" s="24" t="str">
        <f>VLOOKUP($A604,Base!B:F,5,0)</f>
        <v>HOLERITE</v>
      </c>
      <c r="G604" s="23"/>
      <c r="H604" s="17" t="s">
        <v>380</v>
      </c>
      <c r="I604" s="19"/>
      <c r="J604" s="20">
        <v>203067.41</v>
      </c>
      <c r="K604" s="21">
        <f t="shared" si="9"/>
        <v>-212119.02999999997</v>
      </c>
    </row>
    <row r="605" spans="1:11" ht="12" customHeight="1" x14ac:dyDescent="0.25">
      <c r="A605" s="28">
        <v>14</v>
      </c>
      <c r="B605" s="14">
        <v>43768</v>
      </c>
      <c r="C605" s="15" t="str">
        <f>VLOOKUP(A605,Base!B:C,2,0)</f>
        <v>3.3.90.39.39 - ENCARGOS FINANCEIROS INDEDUTÍVEIS</v>
      </c>
      <c r="D605" s="15" t="str">
        <f>VLOOKUP(A605,Base!B:D,3,0)</f>
        <v>BANCO DO BRASIL</v>
      </c>
      <c r="E605" s="23">
        <f>VLOOKUP($A605,Base!B:E,4,0)</f>
        <v>191</v>
      </c>
      <c r="F605" s="24" t="str">
        <f>VLOOKUP($A605,Base!B:F,5,0)</f>
        <v>AVISO DE DÉBITO</v>
      </c>
      <c r="G605" s="23"/>
      <c r="H605" s="17" t="s">
        <v>348</v>
      </c>
      <c r="I605" s="19"/>
      <c r="J605" s="20">
        <v>11.4</v>
      </c>
      <c r="K605" s="21">
        <f t="shared" si="9"/>
        <v>-212130.42999999996</v>
      </c>
    </row>
    <row r="606" spans="1:11" ht="12" customHeight="1" x14ac:dyDescent="0.25">
      <c r="A606" s="28">
        <v>14</v>
      </c>
      <c r="B606" s="14">
        <v>43768</v>
      </c>
      <c r="C606" s="15" t="str">
        <f>VLOOKUP(A606,Base!B:C,2,0)</f>
        <v>3.3.90.39.39 - ENCARGOS FINANCEIROS INDEDUTÍVEIS</v>
      </c>
      <c r="D606" s="15" t="str">
        <f>VLOOKUP(A606,Base!B:D,3,0)</f>
        <v>BANCO DO BRASIL</v>
      </c>
      <c r="E606" s="23">
        <f>VLOOKUP($A606,Base!B:E,4,0)</f>
        <v>191</v>
      </c>
      <c r="F606" s="24" t="str">
        <f>VLOOKUP($A606,Base!B:F,5,0)</f>
        <v>AVISO DE DÉBITO</v>
      </c>
      <c r="G606" s="23"/>
      <c r="H606" s="17" t="s">
        <v>348</v>
      </c>
      <c r="I606" s="19"/>
      <c r="J606" s="20">
        <v>17.100000000000001</v>
      </c>
      <c r="K606" s="21">
        <f t="shared" si="9"/>
        <v>-212147.52999999997</v>
      </c>
    </row>
    <row r="607" spans="1:11" ht="12" customHeight="1" x14ac:dyDescent="0.25">
      <c r="A607" s="28">
        <v>14</v>
      </c>
      <c r="B607" s="14">
        <v>43768</v>
      </c>
      <c r="C607" s="15" t="str">
        <f>VLOOKUP(A607,Base!B:C,2,0)</f>
        <v>3.3.90.39.39 - ENCARGOS FINANCEIROS INDEDUTÍVEIS</v>
      </c>
      <c r="D607" s="15" t="str">
        <f>VLOOKUP(A607,Base!B:D,3,0)</f>
        <v>BANCO DO BRASIL</v>
      </c>
      <c r="E607" s="23">
        <f>VLOOKUP($A607,Base!B:E,4,0)</f>
        <v>191</v>
      </c>
      <c r="F607" s="24" t="str">
        <f>VLOOKUP($A607,Base!B:F,5,0)</f>
        <v>AVISO DE DÉBITO</v>
      </c>
      <c r="G607" s="23"/>
      <c r="H607" s="17" t="s">
        <v>374</v>
      </c>
      <c r="I607" s="19"/>
      <c r="J607" s="20">
        <v>11.4</v>
      </c>
      <c r="K607" s="21">
        <f t="shared" si="9"/>
        <v>-212158.92999999996</v>
      </c>
    </row>
    <row r="608" spans="1:11" ht="12" customHeight="1" x14ac:dyDescent="0.25">
      <c r="A608" s="28">
        <v>14</v>
      </c>
      <c r="B608" s="14">
        <v>43768</v>
      </c>
      <c r="C608" s="15" t="str">
        <f>VLOOKUP(A608,Base!B:C,2,0)</f>
        <v>3.3.90.39.39 - ENCARGOS FINANCEIROS INDEDUTÍVEIS</v>
      </c>
      <c r="D608" s="15" t="str">
        <f>VLOOKUP(A608,Base!B:D,3,0)</f>
        <v>BANCO DO BRASIL</v>
      </c>
      <c r="E608" s="23">
        <f>VLOOKUP($A608,Base!B:E,4,0)</f>
        <v>191</v>
      </c>
      <c r="F608" s="24" t="str">
        <f>VLOOKUP($A608,Base!B:F,5,0)</f>
        <v>AVISO DE DÉBITO</v>
      </c>
      <c r="G608" s="23"/>
      <c r="H608" s="17" t="s">
        <v>374</v>
      </c>
      <c r="I608" s="19"/>
      <c r="J608" s="20">
        <v>11.4</v>
      </c>
      <c r="K608" s="21">
        <f t="shared" si="9"/>
        <v>-212170.32999999996</v>
      </c>
    </row>
    <row r="609" spans="1:11" ht="12" customHeight="1" x14ac:dyDescent="0.25">
      <c r="A609" s="28">
        <v>5</v>
      </c>
      <c r="B609" s="14">
        <v>43768</v>
      </c>
      <c r="C609" s="15" t="str">
        <f>VLOOKUP(A609,Base!B:C,2,0)</f>
        <v>RESGATE APLICAÇÃO</v>
      </c>
      <c r="D609" s="15" t="str">
        <f>VLOOKUP(A609,Base!B:D,3,0)</f>
        <v>PALCOPARANÁ</v>
      </c>
      <c r="E609" s="23" t="str">
        <f>VLOOKUP($A609,Base!B:E,4,0)</f>
        <v>25.298.788/0001-95</v>
      </c>
      <c r="F609" s="24">
        <f>VLOOKUP($A609,Base!B:F,5,0)</f>
        <v>0</v>
      </c>
      <c r="G609" s="23"/>
      <c r="H609" s="17" t="s">
        <v>13</v>
      </c>
      <c r="I609" s="19">
        <v>212500</v>
      </c>
      <c r="J609" s="20"/>
      <c r="K609" s="21">
        <f t="shared" si="9"/>
        <v>329.67000000004191</v>
      </c>
    </row>
    <row r="610" spans="1:11" ht="12" customHeight="1" x14ac:dyDescent="0.25">
      <c r="A610" s="28">
        <v>5</v>
      </c>
      <c r="B610" s="14">
        <v>43768</v>
      </c>
      <c r="C610" s="15" t="str">
        <f>VLOOKUP(A610,Base!B:C,2,0)</f>
        <v>RESGATE APLICAÇÃO</v>
      </c>
      <c r="D610" s="15" t="str">
        <f>VLOOKUP(A610,Base!B:D,3,0)</f>
        <v>PALCOPARANÁ</v>
      </c>
      <c r="E610" s="23" t="str">
        <f>VLOOKUP($A610,Base!B:E,4,0)</f>
        <v>25.298.788/0001-95</v>
      </c>
      <c r="F610" s="24">
        <f>VLOOKUP($A610,Base!B:F,5,0)</f>
        <v>0</v>
      </c>
      <c r="G610" s="23"/>
      <c r="H610" s="17" t="s">
        <v>13</v>
      </c>
      <c r="I610" s="19">
        <v>3115.25</v>
      </c>
      <c r="J610" s="20"/>
      <c r="K610" s="21">
        <f t="shared" si="9"/>
        <v>3444.9200000000419</v>
      </c>
    </row>
    <row r="611" spans="1:11" ht="12" customHeight="1" x14ac:dyDescent="0.25">
      <c r="A611" s="28">
        <v>2</v>
      </c>
      <c r="B611" s="14">
        <v>43770</v>
      </c>
      <c r="C611" s="15" t="str">
        <f>VLOOKUP(A611,Base!B:C,2,0)</f>
        <v>3.1.90.11.61 - VENCIMENTOS E SALÁRIOS</v>
      </c>
      <c r="D611" s="15" t="str">
        <f>VLOOKUP(A611,Base!B:D,3,0)</f>
        <v>NICOLE BARÃO RAFFS</v>
      </c>
      <c r="E611" s="23" t="str">
        <f>VLOOKUP($A611,Base!B:E,4,0)</f>
        <v>020.621.669-66</v>
      </c>
      <c r="F611" s="24" t="str">
        <f>VLOOKUP($A611,Base!B:F,5,0)</f>
        <v>HOLERITE</v>
      </c>
      <c r="G611" s="23"/>
      <c r="H611" s="17" t="s">
        <v>380</v>
      </c>
      <c r="I611" s="19"/>
      <c r="J611" s="20">
        <v>10575.3</v>
      </c>
      <c r="K611" s="21">
        <f t="shared" si="9"/>
        <v>-7130.3799999999574</v>
      </c>
    </row>
    <row r="612" spans="1:11" ht="12" customHeight="1" x14ac:dyDescent="0.25">
      <c r="A612" s="28">
        <v>13</v>
      </c>
      <c r="B612" s="14">
        <v>43770</v>
      </c>
      <c r="C612" s="15" t="str">
        <f>VLOOKUP(A612,Base!B:C,2,0)</f>
        <v>3.1.90.46.03 - AUXÍLIO-ALIMENTAÇÃO</v>
      </c>
      <c r="D612" s="15" t="s">
        <v>82</v>
      </c>
      <c r="E612" s="23" t="s">
        <v>83</v>
      </c>
      <c r="F612" s="24" t="str">
        <f>VLOOKUP($A612,Base!B:F,5,0)</f>
        <v>RECIBO</v>
      </c>
      <c r="G612" s="23"/>
      <c r="H612" s="17" t="s">
        <v>378</v>
      </c>
      <c r="I612" s="19"/>
      <c r="J612" s="20">
        <v>72</v>
      </c>
      <c r="K612" s="21">
        <f t="shared" si="9"/>
        <v>-7202.3799999999574</v>
      </c>
    </row>
    <row r="613" spans="1:11" ht="12" customHeight="1" x14ac:dyDescent="0.25">
      <c r="A613" s="28">
        <v>13</v>
      </c>
      <c r="B613" s="14">
        <v>43770</v>
      </c>
      <c r="C613" s="15" t="str">
        <f>VLOOKUP(A613,Base!B:C,2,0)</f>
        <v>3.1.90.46.03 - AUXÍLIO-ALIMENTAÇÃO</v>
      </c>
      <c r="D613" s="15" t="s">
        <v>68</v>
      </c>
      <c r="E613" s="23" t="s">
        <v>69</v>
      </c>
      <c r="F613" s="24" t="str">
        <f>VLOOKUP($A613,Base!B:F,5,0)</f>
        <v>RECIBO</v>
      </c>
      <c r="G613" s="23"/>
      <c r="H613" s="17" t="s">
        <v>378</v>
      </c>
      <c r="I613" s="19"/>
      <c r="J613" s="20">
        <v>304</v>
      </c>
      <c r="K613" s="21">
        <f t="shared" si="9"/>
        <v>-7506.3799999999574</v>
      </c>
    </row>
    <row r="614" spans="1:11" ht="12" customHeight="1" x14ac:dyDescent="0.25">
      <c r="A614" s="28">
        <v>13</v>
      </c>
      <c r="B614" s="14">
        <v>43770</v>
      </c>
      <c r="C614" s="15" t="str">
        <f>VLOOKUP(A614,Base!B:C,2,0)</f>
        <v>3.1.90.46.03 - AUXÍLIO-ALIMENTAÇÃO</v>
      </c>
      <c r="D614" s="15" t="s">
        <v>36</v>
      </c>
      <c r="E614" s="23" t="s">
        <v>37</v>
      </c>
      <c r="F614" s="24" t="str">
        <f>VLOOKUP($A614,Base!B:F,5,0)</f>
        <v>RECIBO</v>
      </c>
      <c r="G614" s="23"/>
      <c r="H614" s="17" t="s">
        <v>378</v>
      </c>
      <c r="I614" s="19"/>
      <c r="J614" s="20">
        <v>304</v>
      </c>
      <c r="K614" s="21">
        <f t="shared" si="9"/>
        <v>-7810.3799999999574</v>
      </c>
    </row>
    <row r="615" spans="1:11" ht="12" customHeight="1" x14ac:dyDescent="0.25">
      <c r="A615" s="28">
        <v>13</v>
      </c>
      <c r="B615" s="14">
        <v>43770</v>
      </c>
      <c r="C615" s="15" t="str">
        <f>VLOOKUP(A615,Base!B:C,2,0)</f>
        <v>3.1.90.46.03 - AUXÍLIO-ALIMENTAÇÃO</v>
      </c>
      <c r="D615" s="15" t="s">
        <v>84</v>
      </c>
      <c r="E615" s="23" t="s">
        <v>85</v>
      </c>
      <c r="F615" s="24" t="str">
        <f>VLOOKUP($A615,Base!B:F,5,0)</f>
        <v>RECIBO</v>
      </c>
      <c r="G615" s="23"/>
      <c r="H615" s="17" t="s">
        <v>378</v>
      </c>
      <c r="I615" s="19"/>
      <c r="J615" s="20">
        <v>72</v>
      </c>
      <c r="K615" s="21">
        <f t="shared" si="9"/>
        <v>-7882.3799999999574</v>
      </c>
    </row>
    <row r="616" spans="1:11" ht="12" customHeight="1" x14ac:dyDescent="0.25">
      <c r="A616" s="28">
        <v>12</v>
      </c>
      <c r="B616" s="14">
        <v>43770</v>
      </c>
      <c r="C616" s="15" t="str">
        <f>VLOOKUP(A616,Base!B:C,2,0)</f>
        <v>3.1.90.46.03 - AUXÍLIO-ALIMENTAÇÃO</v>
      </c>
      <c r="D616" s="15" t="str">
        <f>VLOOKUP(A616,Base!B:D,3,0)</f>
        <v>NICOLE BARÃO RAFFS</v>
      </c>
      <c r="E616" s="23" t="str">
        <f>VLOOKUP($A616,Base!B:E,4,0)</f>
        <v>020.621.669-66</v>
      </c>
      <c r="F616" s="24" t="str">
        <f>VLOOKUP($A616,Base!B:F,5,0)</f>
        <v>RECIBO</v>
      </c>
      <c r="G616" s="23"/>
      <c r="H616" s="17" t="s">
        <v>378</v>
      </c>
      <c r="I616" s="19"/>
      <c r="J616" s="20">
        <v>320</v>
      </c>
      <c r="K616" s="21">
        <f t="shared" si="9"/>
        <v>-8202.3799999999574</v>
      </c>
    </row>
    <row r="617" spans="1:11" ht="12" customHeight="1" x14ac:dyDescent="0.25">
      <c r="A617" s="28">
        <v>13</v>
      </c>
      <c r="B617" s="14">
        <v>43770</v>
      </c>
      <c r="C617" s="15" t="str">
        <f>VLOOKUP(A617,Base!B:C,2,0)</f>
        <v>3.1.90.46.03 - AUXÍLIO-ALIMENTAÇÃO</v>
      </c>
      <c r="D617" s="15" t="s">
        <v>33</v>
      </c>
      <c r="E617" s="23" t="s">
        <v>34</v>
      </c>
      <c r="F617" s="24" t="str">
        <f>VLOOKUP($A617,Base!B:F,5,0)</f>
        <v>RECIBO</v>
      </c>
      <c r="G617" s="23"/>
      <c r="H617" s="17" t="s">
        <v>378</v>
      </c>
      <c r="I617" s="19"/>
      <c r="J617" s="20">
        <v>160</v>
      </c>
      <c r="K617" s="21">
        <f t="shared" si="9"/>
        <v>-8362.3799999999574</v>
      </c>
    </row>
    <row r="618" spans="1:11" ht="12" customHeight="1" x14ac:dyDescent="0.25">
      <c r="A618" s="28">
        <v>14</v>
      </c>
      <c r="B618" s="14">
        <v>43770</v>
      </c>
      <c r="C618" s="15" t="str">
        <f>VLOOKUP(A618,Base!B:C,2,0)</f>
        <v>3.3.90.39.39 - ENCARGOS FINANCEIROS INDEDUTÍVEIS</v>
      </c>
      <c r="D618" s="15" t="str">
        <f>VLOOKUP(A618,Base!B:D,3,0)</f>
        <v>BANCO DO BRASIL</v>
      </c>
      <c r="E618" s="23">
        <f>VLOOKUP($A618,Base!B:E,4,0)</f>
        <v>191</v>
      </c>
      <c r="F618" s="24" t="str">
        <f>VLOOKUP($A618,Base!B:F,5,0)</f>
        <v>AVISO DE DÉBITO</v>
      </c>
      <c r="G618" s="23"/>
      <c r="H618" s="17" t="s">
        <v>381</v>
      </c>
      <c r="I618" s="19"/>
      <c r="J618" s="20">
        <v>10.45</v>
      </c>
      <c r="K618" s="21">
        <f t="shared" si="9"/>
        <v>-8372.8299999999581</v>
      </c>
    </row>
    <row r="619" spans="1:11" ht="12" customHeight="1" x14ac:dyDescent="0.25">
      <c r="A619" s="28">
        <v>14</v>
      </c>
      <c r="B619" s="14">
        <v>43770</v>
      </c>
      <c r="C619" s="15" t="str">
        <f>VLOOKUP(A619,Base!B:C,2,0)</f>
        <v>3.3.90.39.39 - ENCARGOS FINANCEIROS INDEDUTÍVEIS</v>
      </c>
      <c r="D619" s="15" t="str">
        <f>VLOOKUP(A619,Base!B:D,3,0)</f>
        <v>BANCO DO BRASIL</v>
      </c>
      <c r="E619" s="23">
        <f>VLOOKUP($A619,Base!B:E,4,0)</f>
        <v>191</v>
      </c>
      <c r="F619" s="24" t="str">
        <f>VLOOKUP($A619,Base!B:F,5,0)</f>
        <v>AVISO DE DÉBITO</v>
      </c>
      <c r="G619" s="23"/>
      <c r="H619" s="17" t="s">
        <v>381</v>
      </c>
      <c r="I619" s="19"/>
      <c r="J619" s="20">
        <v>10.45</v>
      </c>
      <c r="K619" s="21">
        <f t="shared" si="9"/>
        <v>-8383.2799999999588</v>
      </c>
    </row>
    <row r="620" spans="1:11" ht="12" customHeight="1" x14ac:dyDescent="0.25">
      <c r="A620" s="28">
        <v>5</v>
      </c>
      <c r="B620" s="14">
        <v>43770</v>
      </c>
      <c r="C620" s="15" t="str">
        <f>VLOOKUP(A620,Base!B:C,2,0)</f>
        <v>RESGATE APLICAÇÃO</v>
      </c>
      <c r="D620" s="15" t="str">
        <f>VLOOKUP(A620,Base!B:D,3,0)</f>
        <v>PALCOPARANÁ</v>
      </c>
      <c r="E620" s="23" t="str">
        <f>VLOOKUP($A620,Base!B:E,4,0)</f>
        <v>25.298.788/0001-95</v>
      </c>
      <c r="F620" s="24">
        <f>VLOOKUP($A620,Base!B:F,5,0)</f>
        <v>0</v>
      </c>
      <c r="G620" s="23"/>
      <c r="H620" s="17" t="s">
        <v>13</v>
      </c>
      <c r="I620" s="19">
        <v>8500</v>
      </c>
      <c r="J620" s="20"/>
      <c r="K620" s="21">
        <f t="shared" si="9"/>
        <v>116.72000000004118</v>
      </c>
    </row>
    <row r="621" spans="1:11" ht="12" customHeight="1" x14ac:dyDescent="0.25">
      <c r="A621" s="28">
        <v>5</v>
      </c>
      <c r="B621" s="14">
        <v>43773</v>
      </c>
      <c r="C621" s="15" t="str">
        <f>VLOOKUP(A621,Base!B:C,2,0)</f>
        <v>RESGATE APLICAÇÃO</v>
      </c>
      <c r="D621" s="15" t="str">
        <f>VLOOKUP(A621,Base!B:D,3,0)</f>
        <v>PALCOPARANÁ</v>
      </c>
      <c r="E621" s="23" t="str">
        <f>VLOOKUP($A621,Base!B:E,4,0)</f>
        <v>25.298.788/0001-95</v>
      </c>
      <c r="F621" s="24">
        <f>VLOOKUP($A621,Base!B:F,5,0)</f>
        <v>0</v>
      </c>
      <c r="G621" s="23"/>
      <c r="H621" s="17" t="s">
        <v>13</v>
      </c>
      <c r="I621" s="19">
        <v>127.84</v>
      </c>
      <c r="J621" s="20"/>
      <c r="K621" s="21">
        <f t="shared" si="9"/>
        <v>244.56000000004119</v>
      </c>
    </row>
    <row r="622" spans="1:11" ht="12" customHeight="1" x14ac:dyDescent="0.25">
      <c r="A622" s="28">
        <v>7</v>
      </c>
      <c r="B622" s="14">
        <v>43774</v>
      </c>
      <c r="C622" s="15" t="str">
        <f>VLOOKUP(A622,Base!B:C,2,0)</f>
        <v>3.3.90.39.05 - SERVIÇOS TÉCNICOS PROFISSIONAIS</v>
      </c>
      <c r="D622" s="15" t="str">
        <f>VLOOKUP(A622,Base!B:D,3,0)</f>
        <v>SBSC CONTADORES ASSOCIADOS LTDA</v>
      </c>
      <c r="E622" s="23" t="str">
        <f>VLOOKUP($A622,Base!B:E,4,0)</f>
        <v>05.377.113/0001-24</v>
      </c>
      <c r="F622" s="24" t="str">
        <f>VLOOKUP($A622,Base!B:F,5,0)</f>
        <v>NFS-e</v>
      </c>
      <c r="G622" s="23">
        <v>812</v>
      </c>
      <c r="H622" s="17" t="s">
        <v>382</v>
      </c>
      <c r="I622" s="19"/>
      <c r="J622" s="20">
        <v>2166.66</v>
      </c>
      <c r="K622" s="21">
        <f t="shared" si="9"/>
        <v>-1922.0999999999588</v>
      </c>
    </row>
    <row r="623" spans="1:11" ht="12" customHeight="1" x14ac:dyDescent="0.25">
      <c r="A623" s="28">
        <v>5</v>
      </c>
      <c r="B623" s="14">
        <v>43774</v>
      </c>
      <c r="C623" s="15" t="str">
        <f>VLOOKUP(A623,Base!B:C,2,0)</f>
        <v>RESGATE APLICAÇÃO</v>
      </c>
      <c r="D623" s="15" t="str">
        <f>VLOOKUP(A623,Base!B:D,3,0)</f>
        <v>PALCOPARANÁ</v>
      </c>
      <c r="E623" s="23" t="str">
        <f>VLOOKUP($A623,Base!B:E,4,0)</f>
        <v>25.298.788/0001-95</v>
      </c>
      <c r="F623" s="24">
        <f>VLOOKUP($A623,Base!B:F,5,0)</f>
        <v>0</v>
      </c>
      <c r="G623" s="23"/>
      <c r="H623" s="17" t="s">
        <v>13</v>
      </c>
      <c r="I623" s="19">
        <v>2000</v>
      </c>
      <c r="J623" s="20"/>
      <c r="K623" s="21">
        <f t="shared" si="9"/>
        <v>77.900000000041246</v>
      </c>
    </row>
    <row r="624" spans="1:11" ht="12" customHeight="1" x14ac:dyDescent="0.25">
      <c r="A624" s="28">
        <v>5</v>
      </c>
      <c r="B624" s="14">
        <v>43774</v>
      </c>
      <c r="C624" s="15" t="str">
        <f>VLOOKUP(A624,Base!B:C,2,0)</f>
        <v>RESGATE APLICAÇÃO</v>
      </c>
      <c r="D624" s="15" t="str">
        <f>VLOOKUP(A624,Base!B:D,3,0)</f>
        <v>PALCOPARANÁ</v>
      </c>
      <c r="E624" s="23" t="str">
        <f>VLOOKUP($A624,Base!B:E,4,0)</f>
        <v>25.298.788/0001-95</v>
      </c>
      <c r="F624" s="24">
        <f>VLOOKUP($A624,Base!B:F,5,0)</f>
        <v>0</v>
      </c>
      <c r="G624" s="23"/>
      <c r="H624" s="17" t="s">
        <v>13</v>
      </c>
      <c r="I624" s="19">
        <v>30.8</v>
      </c>
      <c r="J624" s="20"/>
      <c r="K624" s="21">
        <f t="shared" si="9"/>
        <v>108.70000000004124</v>
      </c>
    </row>
    <row r="625" spans="1:11" ht="12" customHeight="1" x14ac:dyDescent="0.25">
      <c r="A625" s="28">
        <v>36</v>
      </c>
      <c r="B625" s="14">
        <v>43775</v>
      </c>
      <c r="C625" s="15" t="str">
        <f>VLOOKUP(A625,Base!B:C,2,0)</f>
        <v>3.9.90.52.42 - MOBILIÁRIO EM GERAL</v>
      </c>
      <c r="D625" s="25" t="s">
        <v>383</v>
      </c>
      <c r="E625" s="26" t="s">
        <v>384</v>
      </c>
      <c r="F625" s="24" t="str">
        <f>VLOOKUP($A625,Base!B:F,5,0)</f>
        <v>NF-e</v>
      </c>
      <c r="G625" s="23">
        <v>69944</v>
      </c>
      <c r="H625" s="17" t="s">
        <v>385</v>
      </c>
      <c r="I625" s="19"/>
      <c r="J625" s="20">
        <v>3375</v>
      </c>
      <c r="K625" s="21">
        <f t="shared" si="9"/>
        <v>-3266.2999999999588</v>
      </c>
    </row>
    <row r="626" spans="1:11" ht="12" customHeight="1" x14ac:dyDescent="0.25">
      <c r="A626" s="28">
        <v>41</v>
      </c>
      <c r="B626" s="14">
        <v>43775</v>
      </c>
      <c r="C626" s="15" t="str">
        <f>VLOOKUP(A626,Base!B:C,2,0)</f>
        <v>3.9.90.39.03 - COMISSÕES E CORRETAGENS</v>
      </c>
      <c r="D626" s="15" t="s">
        <v>386</v>
      </c>
      <c r="E626" s="23">
        <f>VLOOKUP($A626,Base!B:E,4,0)</f>
        <v>0</v>
      </c>
      <c r="F626" s="24" t="s">
        <v>387</v>
      </c>
      <c r="G626" s="23"/>
      <c r="H626" s="17" t="s">
        <v>388</v>
      </c>
      <c r="I626" s="19"/>
      <c r="J626" s="20">
        <v>167.42</v>
      </c>
      <c r="K626" s="21">
        <f t="shared" si="9"/>
        <v>-3433.7199999999589</v>
      </c>
    </row>
    <row r="627" spans="1:11" ht="12" customHeight="1" x14ac:dyDescent="0.25">
      <c r="A627" s="28">
        <v>5</v>
      </c>
      <c r="B627" s="14">
        <v>43775</v>
      </c>
      <c r="C627" s="15" t="str">
        <f>VLOOKUP(A627,Base!B:C,2,0)</f>
        <v>RESGATE APLICAÇÃO</v>
      </c>
      <c r="D627" s="15" t="str">
        <f>VLOOKUP(A627,Base!B:D,3,0)</f>
        <v>PALCOPARANÁ</v>
      </c>
      <c r="E627" s="23" t="str">
        <f>VLOOKUP($A627,Base!B:E,4,0)</f>
        <v>25.298.788/0001-95</v>
      </c>
      <c r="F627" s="24">
        <f>VLOOKUP($A627,Base!B:F,5,0)</f>
        <v>0</v>
      </c>
      <c r="G627" s="23"/>
      <c r="H627" s="17" t="s">
        <v>13</v>
      </c>
      <c r="I627" s="19">
        <v>3500</v>
      </c>
      <c r="J627" s="20"/>
      <c r="K627" s="21">
        <f t="shared" si="9"/>
        <v>66.280000000041127</v>
      </c>
    </row>
    <row r="628" spans="1:11" ht="12" customHeight="1" x14ac:dyDescent="0.25">
      <c r="A628" s="28">
        <v>5</v>
      </c>
      <c r="B628" s="14">
        <v>43775</v>
      </c>
      <c r="C628" s="15" t="str">
        <f>VLOOKUP(A628,Base!B:C,2,0)</f>
        <v>RESGATE APLICAÇÃO</v>
      </c>
      <c r="D628" s="15" t="str">
        <f>VLOOKUP(A628,Base!B:D,3,0)</f>
        <v>PALCOPARANÁ</v>
      </c>
      <c r="E628" s="23" t="str">
        <f>VLOOKUP($A628,Base!B:E,4,0)</f>
        <v>25.298.788/0001-95</v>
      </c>
      <c r="F628" s="24">
        <f>VLOOKUP($A628,Base!B:F,5,0)</f>
        <v>0</v>
      </c>
      <c r="G628" s="23"/>
      <c r="H628" s="17" t="s">
        <v>13</v>
      </c>
      <c r="I628" s="19">
        <v>54.53</v>
      </c>
      <c r="J628" s="20"/>
      <c r="K628" s="21">
        <f t="shared" si="9"/>
        <v>120.81000000004113</v>
      </c>
    </row>
    <row r="629" spans="1:11" ht="12" customHeight="1" x14ac:dyDescent="0.25">
      <c r="A629" s="28">
        <v>10</v>
      </c>
      <c r="B629" s="14">
        <v>43776</v>
      </c>
      <c r="C629" s="15" t="str">
        <f>VLOOKUP(A629,Base!B:C,2,0)</f>
        <v>3.1.90.13.02 - FGTS</v>
      </c>
      <c r="D629" s="15" t="str">
        <f>VLOOKUP(A629,Base!B:D,3,0)</f>
        <v>CAIXA ECONÔMICA FEDERAL</v>
      </c>
      <c r="E629" s="23">
        <f>VLOOKUP($A629,Base!B:E,4,0)</f>
        <v>0</v>
      </c>
      <c r="F629" s="24" t="str">
        <f>VLOOKUP($A629,Base!B:F,5,0)</f>
        <v>GUIA GRRF</v>
      </c>
      <c r="G629" s="23"/>
      <c r="H629" s="17" t="s">
        <v>389</v>
      </c>
      <c r="I629" s="19"/>
      <c r="J629" s="20">
        <v>21651.88</v>
      </c>
      <c r="K629" s="21">
        <f t="shared" si="9"/>
        <v>-21531.06999999996</v>
      </c>
    </row>
    <row r="630" spans="1:11" ht="12" customHeight="1" x14ac:dyDescent="0.25">
      <c r="A630" s="28">
        <v>5</v>
      </c>
      <c r="B630" s="14">
        <v>43776</v>
      </c>
      <c r="C630" s="15" t="str">
        <f>VLOOKUP(A630,Base!B:C,2,0)</f>
        <v>RESGATE APLICAÇÃO</v>
      </c>
      <c r="D630" s="15" t="str">
        <f>VLOOKUP(A630,Base!B:D,3,0)</f>
        <v>PALCOPARANÁ</v>
      </c>
      <c r="E630" s="23" t="str">
        <f>VLOOKUP($A630,Base!B:E,4,0)</f>
        <v>25.298.788/0001-95</v>
      </c>
      <c r="F630" s="24">
        <f>VLOOKUP($A630,Base!B:F,5,0)</f>
        <v>0</v>
      </c>
      <c r="G630" s="23"/>
      <c r="H630" s="17" t="s">
        <v>13</v>
      </c>
      <c r="I630" s="19">
        <v>22000</v>
      </c>
      <c r="J630" s="20"/>
      <c r="K630" s="21">
        <f t="shared" si="9"/>
        <v>468.93000000004031</v>
      </c>
    </row>
    <row r="631" spans="1:11" ht="12" customHeight="1" x14ac:dyDescent="0.25">
      <c r="A631" s="28">
        <v>5</v>
      </c>
      <c r="B631" s="14">
        <v>43776</v>
      </c>
      <c r="C631" s="15" t="str">
        <f>VLOOKUP(A631,Base!B:C,2,0)</f>
        <v>RESGATE APLICAÇÃO</v>
      </c>
      <c r="D631" s="15" t="str">
        <f>VLOOKUP(A631,Base!B:D,3,0)</f>
        <v>PALCOPARANÁ</v>
      </c>
      <c r="E631" s="23" t="str">
        <f>VLOOKUP($A631,Base!B:E,4,0)</f>
        <v>25.298.788/0001-95</v>
      </c>
      <c r="F631" s="24">
        <f>VLOOKUP($A631,Base!B:F,5,0)</f>
        <v>0</v>
      </c>
      <c r="G631" s="23"/>
      <c r="H631" s="17" t="s">
        <v>13</v>
      </c>
      <c r="I631" s="19">
        <v>346.72</v>
      </c>
      <c r="J631" s="20"/>
      <c r="K631" s="21">
        <f t="shared" si="9"/>
        <v>815.65000000004034</v>
      </c>
    </row>
    <row r="632" spans="1:11" ht="12" customHeight="1" x14ac:dyDescent="0.25">
      <c r="A632" s="28">
        <v>17</v>
      </c>
      <c r="B632" s="14">
        <v>43781</v>
      </c>
      <c r="C632" s="15" t="str">
        <f>VLOOKUP(A632,Base!B:C,2,0)</f>
        <v>3.3.90.39.05 - SERVIÇOS TÉCNICOS PROFISSIONAIS</v>
      </c>
      <c r="D632" s="15" t="s">
        <v>390</v>
      </c>
      <c r="E632" s="23" t="s">
        <v>391</v>
      </c>
      <c r="F632" s="24" t="s">
        <v>152</v>
      </c>
      <c r="G632" s="23">
        <v>17</v>
      </c>
      <c r="H632" s="17" t="s">
        <v>392</v>
      </c>
      <c r="I632" s="19"/>
      <c r="J632" s="20">
        <v>1000</v>
      </c>
      <c r="K632" s="21">
        <f t="shared" si="9"/>
        <v>-184.34999999995966</v>
      </c>
    </row>
    <row r="633" spans="1:11" ht="12" customHeight="1" x14ac:dyDescent="0.25">
      <c r="A633" s="28">
        <v>17</v>
      </c>
      <c r="B633" s="14">
        <v>43781</v>
      </c>
      <c r="C633" s="15" t="str">
        <f>VLOOKUP(A633,Base!B:C,2,0)</f>
        <v>3.3.90.39.05 - SERVIÇOS TÉCNICOS PROFISSIONAIS</v>
      </c>
      <c r="D633" s="15" t="s">
        <v>393</v>
      </c>
      <c r="E633" s="23" t="s">
        <v>394</v>
      </c>
      <c r="F633" s="24" t="s">
        <v>152</v>
      </c>
      <c r="G633" s="23">
        <v>18</v>
      </c>
      <c r="H633" s="17" t="s">
        <v>392</v>
      </c>
      <c r="I633" s="19"/>
      <c r="J633" s="20">
        <v>1780</v>
      </c>
      <c r="K633" s="21">
        <f t="shared" si="9"/>
        <v>-1964.3499999999597</v>
      </c>
    </row>
    <row r="634" spans="1:11" ht="12" customHeight="1" x14ac:dyDescent="0.25">
      <c r="A634" s="28">
        <v>17</v>
      </c>
      <c r="B634" s="14">
        <v>43781</v>
      </c>
      <c r="C634" s="15" t="str">
        <f>VLOOKUP(A634,Base!B:C,2,0)</f>
        <v>3.3.90.39.05 - SERVIÇOS TÉCNICOS PROFISSIONAIS</v>
      </c>
      <c r="D634" s="15" t="s">
        <v>395</v>
      </c>
      <c r="E634" s="23" t="s">
        <v>396</v>
      </c>
      <c r="F634" s="24" t="s">
        <v>152</v>
      </c>
      <c r="G634" s="23">
        <v>19</v>
      </c>
      <c r="H634" s="17" t="s">
        <v>392</v>
      </c>
      <c r="I634" s="19"/>
      <c r="J634" s="20">
        <v>1780</v>
      </c>
      <c r="K634" s="21">
        <f t="shared" si="9"/>
        <v>-3744.3499999999594</v>
      </c>
    </row>
    <row r="635" spans="1:11" ht="12" customHeight="1" x14ac:dyDescent="0.25">
      <c r="A635" s="28">
        <v>14</v>
      </c>
      <c r="B635" s="14">
        <v>43781</v>
      </c>
      <c r="C635" s="15" t="str">
        <f>VLOOKUP(A635,Base!B:C,2,0)</f>
        <v>3.3.90.39.39 - ENCARGOS FINANCEIROS INDEDUTÍVEIS</v>
      </c>
      <c r="D635" s="15" t="str">
        <f>VLOOKUP(A635,Base!B:D,3,0)</f>
        <v>BANCO DO BRASIL</v>
      </c>
      <c r="E635" s="23">
        <f>VLOOKUP($A635,Base!B:E,4,0)</f>
        <v>191</v>
      </c>
      <c r="F635" s="24" t="str">
        <f>VLOOKUP($A635,Base!B:F,5,0)</f>
        <v>AVISO DE DÉBITO</v>
      </c>
      <c r="G635" s="23"/>
      <c r="H635" s="17" t="s">
        <v>397</v>
      </c>
      <c r="I635" s="19"/>
      <c r="J635" s="20">
        <v>10.45</v>
      </c>
      <c r="K635" s="21">
        <f t="shared" si="9"/>
        <v>-3754.7999999999593</v>
      </c>
    </row>
    <row r="636" spans="1:11" ht="12" customHeight="1" x14ac:dyDescent="0.25">
      <c r="A636" s="28">
        <v>14</v>
      </c>
      <c r="B636" s="14">
        <v>43781</v>
      </c>
      <c r="C636" s="15" t="str">
        <f>VLOOKUP(A636,Base!B:C,2,0)</f>
        <v>3.3.90.39.39 - ENCARGOS FINANCEIROS INDEDUTÍVEIS</v>
      </c>
      <c r="D636" s="15" t="str">
        <f>VLOOKUP(A636,Base!B:D,3,0)</f>
        <v>BANCO DO BRASIL</v>
      </c>
      <c r="E636" s="23">
        <f>VLOOKUP($A636,Base!B:E,4,0)</f>
        <v>191</v>
      </c>
      <c r="F636" s="24" t="str">
        <f>VLOOKUP($A636,Base!B:F,5,0)</f>
        <v>AVISO DE DÉBITO</v>
      </c>
      <c r="G636" s="23"/>
      <c r="H636" s="17" t="s">
        <v>397</v>
      </c>
      <c r="I636" s="19"/>
      <c r="J636" s="20">
        <v>10.45</v>
      </c>
      <c r="K636" s="21">
        <f t="shared" si="9"/>
        <v>-3765.2499999999591</v>
      </c>
    </row>
    <row r="637" spans="1:11" ht="12" customHeight="1" x14ac:dyDescent="0.25">
      <c r="A637" s="28">
        <v>5</v>
      </c>
      <c r="B637" s="14">
        <v>43781</v>
      </c>
      <c r="C637" s="15" t="str">
        <f>VLOOKUP(A637,Base!B:C,2,0)</f>
        <v>RESGATE APLICAÇÃO</v>
      </c>
      <c r="D637" s="15" t="str">
        <f>VLOOKUP(A637,Base!B:D,3,0)</f>
        <v>PALCOPARANÁ</v>
      </c>
      <c r="E637" s="23" t="str">
        <f>VLOOKUP($A637,Base!B:E,4,0)</f>
        <v>25.298.788/0001-95</v>
      </c>
      <c r="F637" s="24">
        <f>VLOOKUP($A637,Base!B:F,5,0)</f>
        <v>0</v>
      </c>
      <c r="G637" s="23"/>
      <c r="H637" s="17" t="s">
        <v>13</v>
      </c>
      <c r="I637" s="19">
        <v>4000</v>
      </c>
      <c r="J637" s="20"/>
      <c r="K637" s="21">
        <f t="shared" si="9"/>
        <v>234.75000000004093</v>
      </c>
    </row>
    <row r="638" spans="1:11" ht="12" customHeight="1" x14ac:dyDescent="0.25">
      <c r="A638" s="28">
        <v>5</v>
      </c>
      <c r="B638" s="14">
        <v>43781</v>
      </c>
      <c r="C638" s="15" t="str">
        <f>VLOOKUP(A638,Base!B:C,2,0)</f>
        <v>RESGATE APLICAÇÃO</v>
      </c>
      <c r="D638" s="15" t="str">
        <f>VLOOKUP(A638,Base!B:D,3,0)</f>
        <v>PALCOPARANÁ</v>
      </c>
      <c r="E638" s="23" t="str">
        <f>VLOOKUP($A638,Base!B:E,4,0)</f>
        <v>25.298.788/0001-95</v>
      </c>
      <c r="F638" s="24">
        <f>VLOOKUP($A638,Base!B:F,5,0)</f>
        <v>0</v>
      </c>
      <c r="G638" s="23"/>
      <c r="H638" s="17" t="s">
        <v>13</v>
      </c>
      <c r="I638" s="19">
        <v>65.2</v>
      </c>
      <c r="J638" s="20"/>
      <c r="K638" s="21">
        <f t="shared" si="9"/>
        <v>299.95000000004092</v>
      </c>
    </row>
    <row r="639" spans="1:11" ht="12" customHeight="1" x14ac:dyDescent="0.25">
      <c r="A639" s="28">
        <v>14</v>
      </c>
      <c r="B639" s="14">
        <v>43782</v>
      </c>
      <c r="C639" s="15" t="str">
        <f>VLOOKUP(A639,Base!B:C,2,0)</f>
        <v>3.3.90.39.39 - ENCARGOS FINANCEIROS INDEDUTÍVEIS</v>
      </c>
      <c r="D639" s="15" t="str">
        <f>VLOOKUP(A639,Base!B:D,3,0)</f>
        <v>BANCO DO BRASIL</v>
      </c>
      <c r="E639" s="23">
        <f>VLOOKUP($A639,Base!B:E,4,0)</f>
        <v>191</v>
      </c>
      <c r="F639" s="24" t="str">
        <f>VLOOKUP($A639,Base!B:F,5,0)</f>
        <v>AVISO DE DÉBITO</v>
      </c>
      <c r="G639" s="23"/>
      <c r="H639" s="17" t="s">
        <v>398</v>
      </c>
      <c r="I639" s="19"/>
      <c r="J639" s="20">
        <v>9.18</v>
      </c>
      <c r="K639" s="21">
        <f t="shared" si="9"/>
        <v>290.77000000004091</v>
      </c>
    </row>
    <row r="640" spans="1:11" ht="12" customHeight="1" x14ac:dyDescent="0.25">
      <c r="A640" s="28">
        <v>17</v>
      </c>
      <c r="B640" s="14">
        <v>43782</v>
      </c>
      <c r="C640" s="15" t="str">
        <f>VLOOKUP(A640,Base!B:C,2,0)</f>
        <v>3.3.90.39.05 - SERVIÇOS TÉCNICOS PROFISSIONAIS</v>
      </c>
      <c r="D640" s="15" t="s">
        <v>399</v>
      </c>
      <c r="E640" s="23" t="s">
        <v>400</v>
      </c>
      <c r="F640" s="24" t="s">
        <v>152</v>
      </c>
      <c r="G640" s="23"/>
      <c r="H640" s="17" t="s">
        <v>392</v>
      </c>
      <c r="I640" s="19"/>
      <c r="J640" s="20">
        <v>2414.8000000000002</v>
      </c>
      <c r="K640" s="21">
        <f t="shared" si="9"/>
        <v>-2124.0299999999593</v>
      </c>
    </row>
    <row r="641" spans="1:11" ht="12" customHeight="1" x14ac:dyDescent="0.25">
      <c r="A641" s="28">
        <v>14</v>
      </c>
      <c r="B641" s="14">
        <v>43782</v>
      </c>
      <c r="C641" s="15" t="str">
        <f>VLOOKUP(A641,Base!B:C,2,0)</f>
        <v>3.3.90.39.39 - ENCARGOS FINANCEIROS INDEDUTÍVEIS</v>
      </c>
      <c r="D641" s="15" t="str">
        <f>VLOOKUP(A641,Base!B:D,3,0)</f>
        <v>BANCO DO BRASIL</v>
      </c>
      <c r="E641" s="23">
        <f>VLOOKUP($A641,Base!B:E,4,0)</f>
        <v>191</v>
      </c>
      <c r="F641" s="24" t="str">
        <f>VLOOKUP($A641,Base!B:F,5,0)</f>
        <v>AVISO DE DÉBITO</v>
      </c>
      <c r="G641" s="23"/>
      <c r="H641" s="17" t="s">
        <v>401</v>
      </c>
      <c r="I641" s="19"/>
      <c r="J641" s="20">
        <v>110</v>
      </c>
      <c r="K641" s="21">
        <f t="shared" si="9"/>
        <v>-2234.0299999999593</v>
      </c>
    </row>
    <row r="642" spans="1:11" ht="12" customHeight="1" x14ac:dyDescent="0.25">
      <c r="A642" s="28">
        <v>15</v>
      </c>
      <c r="B642" s="14">
        <v>43782</v>
      </c>
      <c r="C642" s="15" t="str">
        <f>VLOOKUP(A642,Base!B:C,2,0)</f>
        <v>3.1.90.11.61 - VENCIMENTOS E SALÁRIOS</v>
      </c>
      <c r="D642" s="15" t="str">
        <f>VLOOKUP(A642,Base!B:D,3,0)</f>
        <v>MINISTÉRIO DA FAZENDA - UNIÃO</v>
      </c>
      <c r="E642" s="23">
        <v>394460000141</v>
      </c>
      <c r="F642" s="24" t="str">
        <f>VLOOKUP($A642,Base!B:F,5,0)</f>
        <v>DARF IRRF</v>
      </c>
      <c r="G642" s="23"/>
      <c r="H642" s="17" t="s">
        <v>402</v>
      </c>
      <c r="I642" s="19"/>
      <c r="J642" s="20">
        <v>600</v>
      </c>
      <c r="K642" s="21">
        <f t="shared" si="9"/>
        <v>-2834.0299999999593</v>
      </c>
    </row>
    <row r="643" spans="1:11" ht="12" customHeight="1" x14ac:dyDescent="0.25">
      <c r="A643" s="28">
        <v>5</v>
      </c>
      <c r="B643" s="14">
        <v>43782</v>
      </c>
      <c r="C643" s="15" t="str">
        <f>VLOOKUP(A643,Base!B:C,2,0)</f>
        <v>RESGATE APLICAÇÃO</v>
      </c>
      <c r="D643" s="15" t="str">
        <f>VLOOKUP(A643,Base!B:D,3,0)</f>
        <v>PALCOPARANÁ</v>
      </c>
      <c r="E643" s="23" t="str">
        <f>VLOOKUP($A643,Base!B:E,4,0)</f>
        <v>25.298.788/0001-95</v>
      </c>
      <c r="F643" s="24">
        <f>VLOOKUP($A643,Base!B:F,5,0)</f>
        <v>0</v>
      </c>
      <c r="G643" s="23"/>
      <c r="H643" s="17" t="s">
        <v>13</v>
      </c>
      <c r="I643" s="19">
        <v>3000</v>
      </c>
      <c r="J643" s="20"/>
      <c r="K643" s="21">
        <f t="shared" ref="K643:K706" si="10">K642+I643-J643</f>
        <v>165.97000000004073</v>
      </c>
    </row>
    <row r="644" spans="1:11" ht="12" customHeight="1" x14ac:dyDescent="0.25">
      <c r="A644" s="28">
        <v>5</v>
      </c>
      <c r="B644" s="14">
        <v>43782</v>
      </c>
      <c r="C644" s="15" t="str">
        <f>VLOOKUP(A644,Base!B:C,2,0)</f>
        <v>RESGATE APLICAÇÃO</v>
      </c>
      <c r="D644" s="15" t="str">
        <f>VLOOKUP(A644,Base!B:D,3,0)</f>
        <v>PALCOPARANÁ</v>
      </c>
      <c r="E644" s="23" t="str">
        <f>VLOOKUP($A644,Base!B:E,4,0)</f>
        <v>25.298.788/0001-95</v>
      </c>
      <c r="F644" s="24">
        <f>VLOOKUP($A644,Base!B:F,5,0)</f>
        <v>0</v>
      </c>
      <c r="G644" s="23"/>
      <c r="H644" s="17" t="s">
        <v>13</v>
      </c>
      <c r="I644" s="19">
        <v>49.44</v>
      </c>
      <c r="J644" s="20"/>
      <c r="K644" s="21">
        <f t="shared" si="10"/>
        <v>215.41000000004072</v>
      </c>
    </row>
    <row r="645" spans="1:11" ht="12" customHeight="1" x14ac:dyDescent="0.25">
      <c r="A645" s="28">
        <v>4</v>
      </c>
      <c r="B645" s="14">
        <v>43787</v>
      </c>
      <c r="C645" s="15" t="str">
        <f>VLOOKUP(A645,Base!B:C,2,0)</f>
        <v>3.3.90.39.47 - SERVIÇO DE COMUNICAÇÃO EM GERAL</v>
      </c>
      <c r="D645" s="15" t="str">
        <f>VLOOKUP(A645,Base!B:D,3,0)</f>
        <v>DPTO DE IMPRENSA OFICIAL ESTADO DO PARANÁ</v>
      </c>
      <c r="E645" s="23" t="str">
        <f>VLOOKUP($A645,Base!B:E,4,0)</f>
        <v>76.437.383/0001-21</v>
      </c>
      <c r="F645" s="24" t="str">
        <f>VLOOKUP($A645,Base!B:F,5,0)</f>
        <v>NOTA FISCAL</v>
      </c>
      <c r="G645" s="23">
        <v>2019288052</v>
      </c>
      <c r="H645" s="17" t="s">
        <v>403</v>
      </c>
      <c r="I645" s="19"/>
      <c r="J645" s="20">
        <v>90</v>
      </c>
      <c r="K645" s="21">
        <f t="shared" si="10"/>
        <v>125.41000000004072</v>
      </c>
    </row>
    <row r="646" spans="1:11" ht="12" customHeight="1" x14ac:dyDescent="0.25">
      <c r="A646" s="28">
        <v>4</v>
      </c>
      <c r="B646" s="14">
        <v>43787</v>
      </c>
      <c r="C646" s="15" t="str">
        <f>VLOOKUP(A646,Base!B:C,2,0)</f>
        <v>3.3.90.39.47 - SERVIÇO DE COMUNICAÇÃO EM GERAL</v>
      </c>
      <c r="D646" s="15" t="str">
        <f>VLOOKUP(A646,Base!B:D,3,0)</f>
        <v>DPTO DE IMPRENSA OFICIAL ESTADO DO PARANÁ</v>
      </c>
      <c r="E646" s="23" t="str">
        <f>VLOOKUP($A646,Base!B:E,4,0)</f>
        <v>76.437.383/0001-21</v>
      </c>
      <c r="F646" s="24" t="str">
        <f>VLOOKUP($A646,Base!B:F,5,0)</f>
        <v>NOTA FISCAL</v>
      </c>
      <c r="G646" s="23">
        <v>2019288108</v>
      </c>
      <c r="H646" s="17" t="s">
        <v>404</v>
      </c>
      <c r="I646" s="19"/>
      <c r="J646" s="20">
        <v>150</v>
      </c>
      <c r="K646" s="21">
        <f t="shared" si="10"/>
        <v>-24.589999999959275</v>
      </c>
    </row>
    <row r="647" spans="1:11" ht="12" customHeight="1" x14ac:dyDescent="0.25">
      <c r="A647" s="28">
        <v>5</v>
      </c>
      <c r="B647" s="14">
        <v>43787</v>
      </c>
      <c r="C647" s="15" t="str">
        <f>VLOOKUP(A647,Base!B:C,2,0)</f>
        <v>RESGATE APLICAÇÃO</v>
      </c>
      <c r="D647" s="15" t="str">
        <f>VLOOKUP(A647,Base!B:D,3,0)</f>
        <v>PALCOPARANÁ</v>
      </c>
      <c r="E647" s="23" t="str">
        <f>VLOOKUP($A647,Base!B:E,4,0)</f>
        <v>25.298.788/0001-95</v>
      </c>
      <c r="F647" s="24">
        <f>VLOOKUP($A647,Base!B:F,5,0)</f>
        <v>0</v>
      </c>
      <c r="G647" s="23"/>
      <c r="H647" s="17" t="s">
        <v>13</v>
      </c>
      <c r="I647" s="19">
        <v>500</v>
      </c>
      <c r="J647" s="20"/>
      <c r="K647" s="21">
        <f t="shared" si="10"/>
        <v>475.41000000004072</v>
      </c>
    </row>
    <row r="648" spans="1:11" ht="12" customHeight="1" x14ac:dyDescent="0.25">
      <c r="A648" s="28">
        <v>5</v>
      </c>
      <c r="B648" s="14">
        <v>43787</v>
      </c>
      <c r="C648" s="15" t="str">
        <f>VLOOKUP(A648,Base!B:C,2,0)</f>
        <v>RESGATE APLICAÇÃO</v>
      </c>
      <c r="D648" s="15" t="str">
        <f>VLOOKUP(A648,Base!B:D,3,0)</f>
        <v>PALCOPARANÁ</v>
      </c>
      <c r="E648" s="23" t="str">
        <f>VLOOKUP($A648,Base!B:E,4,0)</f>
        <v>25.298.788/0001-95</v>
      </c>
      <c r="F648" s="24">
        <f>VLOOKUP($A648,Base!B:F,5,0)</f>
        <v>0</v>
      </c>
      <c r="G648" s="23"/>
      <c r="H648" s="17" t="s">
        <v>13</v>
      </c>
      <c r="I648" s="19">
        <v>8.43</v>
      </c>
      <c r="J648" s="20"/>
      <c r="K648" s="21">
        <f t="shared" si="10"/>
        <v>483.84000000004073</v>
      </c>
    </row>
    <row r="649" spans="1:11" ht="12" customHeight="1" x14ac:dyDescent="0.25">
      <c r="A649" s="28">
        <v>14</v>
      </c>
      <c r="B649" s="14">
        <v>43788</v>
      </c>
      <c r="C649" s="15" t="str">
        <f>VLOOKUP(A649,Base!B:C,2,0)</f>
        <v>3.3.90.39.39 - ENCARGOS FINANCEIROS INDEDUTÍVEIS</v>
      </c>
      <c r="D649" s="15" t="str">
        <f>VLOOKUP(A649,Base!B:D,3,0)</f>
        <v>BANCO DO BRASIL</v>
      </c>
      <c r="E649" s="23">
        <f>VLOOKUP($A649,Base!B:E,4,0)</f>
        <v>191</v>
      </c>
      <c r="F649" s="24" t="str">
        <f>VLOOKUP($A649,Base!B:F,5,0)</f>
        <v>AVISO DE DÉBITO</v>
      </c>
      <c r="G649" s="23"/>
      <c r="H649" s="17" t="s">
        <v>398</v>
      </c>
      <c r="I649" s="19"/>
      <c r="J649" s="20">
        <v>13.76</v>
      </c>
      <c r="K649" s="21">
        <f t="shared" si="10"/>
        <v>470.08000000004074</v>
      </c>
    </row>
    <row r="650" spans="1:11" ht="12" customHeight="1" x14ac:dyDescent="0.25">
      <c r="A650" s="28">
        <v>17</v>
      </c>
      <c r="B650" s="14">
        <v>43788</v>
      </c>
      <c r="C650" s="15" t="str">
        <f>VLOOKUP(A650,Base!B:C,2,0)</f>
        <v>3.3.90.39.05 - SERVIÇOS TÉCNICOS PROFISSIONAIS</v>
      </c>
      <c r="D650" s="15" t="s">
        <v>405</v>
      </c>
      <c r="E650" s="23" t="s">
        <v>406</v>
      </c>
      <c r="F650" s="24" t="str">
        <f>VLOOKUP($A650,Base!B:F,5,0)</f>
        <v>NFS-e</v>
      </c>
      <c r="G650" s="23"/>
      <c r="H650" s="17" t="s">
        <v>392</v>
      </c>
      <c r="I650" s="19"/>
      <c r="J650" s="20">
        <v>3622.2</v>
      </c>
      <c r="K650" s="21">
        <f t="shared" si="10"/>
        <v>-3152.119999999959</v>
      </c>
    </row>
    <row r="651" spans="1:11" ht="12" customHeight="1" x14ac:dyDescent="0.25">
      <c r="A651" s="28">
        <v>14</v>
      </c>
      <c r="B651" s="14">
        <v>43788</v>
      </c>
      <c r="C651" s="15" t="str">
        <f>VLOOKUP(A651,Base!B:C,2,0)</f>
        <v>3.3.90.39.39 - ENCARGOS FINANCEIROS INDEDUTÍVEIS</v>
      </c>
      <c r="D651" s="15" t="str">
        <f>VLOOKUP(A651,Base!B:D,3,0)</f>
        <v>BANCO DO BRASIL</v>
      </c>
      <c r="E651" s="23">
        <f>VLOOKUP($A651,Base!B:E,4,0)</f>
        <v>191</v>
      </c>
      <c r="F651" s="24" t="str">
        <f>VLOOKUP($A651,Base!B:F,5,0)</f>
        <v>AVISO DE DÉBITO</v>
      </c>
      <c r="G651" s="23"/>
      <c r="H651" s="17" t="s">
        <v>407</v>
      </c>
      <c r="I651" s="19"/>
      <c r="J651" s="20">
        <v>110</v>
      </c>
      <c r="K651" s="21">
        <f t="shared" si="10"/>
        <v>-3262.119999999959</v>
      </c>
    </row>
    <row r="652" spans="1:11" ht="12" customHeight="1" x14ac:dyDescent="0.25">
      <c r="A652" s="28">
        <v>15</v>
      </c>
      <c r="B652" s="14">
        <v>43788</v>
      </c>
      <c r="C652" s="15" t="str">
        <f>VLOOKUP(A652,Base!B:C,2,0)</f>
        <v>3.1.90.11.61 - VENCIMENTOS E SALÁRIOS</v>
      </c>
      <c r="D652" s="15" t="str">
        <f>VLOOKUP(A652,Base!B:D,3,0)</f>
        <v>MINISTÉRIO DA FAZENDA - UNIÃO</v>
      </c>
      <c r="E652" s="23">
        <f>VLOOKUP($A652,Base!B:E,4,0)</f>
        <v>0</v>
      </c>
      <c r="F652" s="24" t="str">
        <f>VLOOKUP($A652,Base!B:F,5,0)</f>
        <v>DARF IRRF</v>
      </c>
      <c r="G652" s="23"/>
      <c r="H652" s="17" t="s">
        <v>408</v>
      </c>
      <c r="I652" s="19"/>
      <c r="J652" s="20">
        <v>600</v>
      </c>
      <c r="K652" s="21">
        <f t="shared" si="10"/>
        <v>-3862.119999999959</v>
      </c>
    </row>
    <row r="653" spans="1:11" ht="12" customHeight="1" x14ac:dyDescent="0.25">
      <c r="A653" s="28">
        <v>4</v>
      </c>
      <c r="B653" s="14">
        <v>43788</v>
      </c>
      <c r="C653" s="15" t="str">
        <f>VLOOKUP(A653,Base!B:C,2,0)</f>
        <v>3.3.90.39.47 - SERVIÇO DE COMUNICAÇÃO EM GERAL</v>
      </c>
      <c r="D653" s="15" t="str">
        <f>VLOOKUP(A653,Base!B:D,3,0)</f>
        <v>DPTO DE IMPRENSA OFICIAL ESTADO DO PARANÁ</v>
      </c>
      <c r="E653" s="23" t="str">
        <f>VLOOKUP($A653,Base!B:E,4,0)</f>
        <v>76.437.383/0001-21</v>
      </c>
      <c r="F653" s="24" t="str">
        <f>VLOOKUP($A653,Base!B:F,5,0)</f>
        <v>NOTA FISCAL</v>
      </c>
      <c r="G653" s="23">
        <v>2019288261</v>
      </c>
      <c r="H653" s="17" t="s">
        <v>409</v>
      </c>
      <c r="I653" s="19"/>
      <c r="J653" s="20">
        <v>120</v>
      </c>
      <c r="K653" s="21">
        <f t="shared" si="10"/>
        <v>-3982.119999999959</v>
      </c>
    </row>
    <row r="654" spans="1:11" ht="12" customHeight="1" x14ac:dyDescent="0.25">
      <c r="A654" s="28">
        <v>5</v>
      </c>
      <c r="B654" s="14">
        <v>43788</v>
      </c>
      <c r="C654" s="15" t="str">
        <f>VLOOKUP(A654,Base!B:C,2,0)</f>
        <v>RESGATE APLICAÇÃO</v>
      </c>
      <c r="D654" s="15" t="str">
        <f>VLOOKUP(A654,Base!B:D,3,0)</f>
        <v>PALCOPARANÁ</v>
      </c>
      <c r="E654" s="23" t="str">
        <f>VLOOKUP($A654,Base!B:E,4,0)</f>
        <v>25.298.788/0001-95</v>
      </c>
      <c r="F654" s="24">
        <f>VLOOKUP($A654,Base!B:F,5,0)</f>
        <v>0</v>
      </c>
      <c r="G654" s="23"/>
      <c r="H654" s="17" t="s">
        <v>13</v>
      </c>
      <c r="I654" s="19">
        <v>4000</v>
      </c>
      <c r="J654" s="20"/>
      <c r="K654" s="21">
        <f t="shared" si="10"/>
        <v>17.880000000041036</v>
      </c>
    </row>
    <row r="655" spans="1:11" ht="12" customHeight="1" x14ac:dyDescent="0.25">
      <c r="A655" s="28">
        <v>5</v>
      </c>
      <c r="B655" s="14">
        <v>43789</v>
      </c>
      <c r="C655" s="15" t="str">
        <f>VLOOKUP(A655,Base!B:C,2,0)</f>
        <v>RESGATE APLICAÇÃO</v>
      </c>
      <c r="D655" s="15" t="str">
        <f>VLOOKUP(A655,Base!B:D,3,0)</f>
        <v>PALCOPARANÁ</v>
      </c>
      <c r="E655" s="23" t="str">
        <f>VLOOKUP($A655,Base!B:E,4,0)</f>
        <v>25.298.788/0001-95</v>
      </c>
      <c r="F655" s="24">
        <f>VLOOKUP($A655,Base!B:F,5,0)</f>
        <v>0</v>
      </c>
      <c r="G655" s="23"/>
      <c r="H655" s="17" t="s">
        <v>13</v>
      </c>
      <c r="I655" s="19">
        <v>68.16</v>
      </c>
      <c r="J655" s="20"/>
      <c r="K655" s="21">
        <f t="shared" si="10"/>
        <v>86.040000000041033</v>
      </c>
    </row>
    <row r="656" spans="1:11" ht="12" customHeight="1" x14ac:dyDescent="0.25">
      <c r="A656" s="28">
        <v>15</v>
      </c>
      <c r="B656" s="14">
        <v>43789</v>
      </c>
      <c r="C656" s="15" t="str">
        <f>VLOOKUP(A656,Base!B:C,2,0)</f>
        <v>3.1.90.11.61 - VENCIMENTOS E SALÁRIOS</v>
      </c>
      <c r="D656" s="15" t="str">
        <f>VLOOKUP(A656,Base!B:D,3,0)</f>
        <v>MINISTÉRIO DA FAZENDA - UNIÃO</v>
      </c>
      <c r="E656" s="23">
        <f>VLOOKUP($A656,Base!B:E,4,0)</f>
        <v>0</v>
      </c>
      <c r="F656" s="24" t="str">
        <f>VLOOKUP($A656,Base!B:F,5,0)</f>
        <v>DARF IRRF</v>
      </c>
      <c r="G656" s="23"/>
      <c r="H656" s="17" t="s">
        <v>410</v>
      </c>
      <c r="I656" s="19"/>
      <c r="J656" s="20">
        <v>20444.63</v>
      </c>
      <c r="K656" s="21">
        <f t="shared" si="10"/>
        <v>-20358.58999999996</v>
      </c>
    </row>
    <row r="657" spans="1:11" ht="12" customHeight="1" x14ac:dyDescent="0.25">
      <c r="A657" s="28">
        <v>16</v>
      </c>
      <c r="B657" s="14">
        <v>43789</v>
      </c>
      <c r="C657" s="15" t="str">
        <f>VLOOKUP(A657,Base!B:C,2,0)</f>
        <v>3.1.90.13.01- CONTRIBUIÇÕES PREVIDENCIÁRIAS - INSS</v>
      </c>
      <c r="D657" s="15" t="str">
        <f>VLOOKUP(A657,Base!B:D,3,0)</f>
        <v>FUNDO DO REGIME GERAL DE PREVIDENCIA SOCIAL</v>
      </c>
      <c r="E657" s="23" t="str">
        <f>VLOOKUP($A657,Base!B:E,4,0)</f>
        <v>16.727.230/0001-97</v>
      </c>
      <c r="F657" s="24" t="str">
        <f>VLOOKUP($A657,Base!B:F,5,0)</f>
        <v>GPS</v>
      </c>
      <c r="G657" s="23"/>
      <c r="H657" s="17" t="s">
        <v>411</v>
      </c>
      <c r="I657" s="19"/>
      <c r="J657" s="20">
        <v>98525.98</v>
      </c>
      <c r="K657" s="21">
        <f t="shared" si="10"/>
        <v>-118884.56999999995</v>
      </c>
    </row>
    <row r="658" spans="1:11" ht="12" customHeight="1" x14ac:dyDescent="0.25">
      <c r="A658" s="28">
        <v>4</v>
      </c>
      <c r="B658" s="14">
        <v>43789</v>
      </c>
      <c r="C658" s="15" t="str">
        <f>VLOOKUP(A658,Base!B:C,2,0)</f>
        <v>3.3.90.39.47 - SERVIÇO DE COMUNICAÇÃO EM GERAL</v>
      </c>
      <c r="D658" s="15" t="str">
        <f>VLOOKUP(A658,Base!B:D,3,0)</f>
        <v>DPTO DE IMPRENSA OFICIAL ESTADO DO PARANÁ</v>
      </c>
      <c r="E658" s="23" t="str">
        <f>VLOOKUP($A658,Base!B:E,4,0)</f>
        <v>76.437.383/0001-21</v>
      </c>
      <c r="F658" s="24" t="str">
        <f>VLOOKUP($A658,Base!B:F,5,0)</f>
        <v>NOTA FISCAL</v>
      </c>
      <c r="G658" s="23"/>
      <c r="H658" s="17" t="s">
        <v>412</v>
      </c>
      <c r="I658" s="19"/>
      <c r="J658" s="20">
        <v>120</v>
      </c>
      <c r="K658" s="21">
        <f t="shared" si="10"/>
        <v>-119004.56999999995</v>
      </c>
    </row>
    <row r="659" spans="1:11" ht="12" customHeight="1" x14ac:dyDescent="0.25">
      <c r="A659" s="28">
        <v>5</v>
      </c>
      <c r="B659" s="14">
        <v>43789</v>
      </c>
      <c r="C659" s="15" t="str">
        <f>VLOOKUP(A659,Base!B:C,2,0)</f>
        <v>RESGATE APLICAÇÃO</v>
      </c>
      <c r="D659" s="15" t="str">
        <f>VLOOKUP(A659,Base!B:D,3,0)</f>
        <v>PALCOPARANÁ</v>
      </c>
      <c r="E659" s="23" t="str">
        <f>VLOOKUP($A659,Base!B:E,4,0)</f>
        <v>25.298.788/0001-95</v>
      </c>
      <c r="F659" s="24">
        <f>VLOOKUP($A659,Base!B:F,5,0)</f>
        <v>0</v>
      </c>
      <c r="G659" s="23"/>
      <c r="H659" s="17" t="s">
        <v>13</v>
      </c>
      <c r="I659" s="19">
        <v>119500</v>
      </c>
      <c r="J659" s="20"/>
      <c r="K659" s="21">
        <f t="shared" si="10"/>
        <v>495.43000000005122</v>
      </c>
    </row>
    <row r="660" spans="1:11" ht="12" customHeight="1" x14ac:dyDescent="0.25">
      <c r="A660" s="28">
        <v>5</v>
      </c>
      <c r="B660" s="14">
        <v>43790</v>
      </c>
      <c r="C660" s="15" t="str">
        <f>VLOOKUP(A660,Base!B:C,2,0)</f>
        <v>RESGATE APLICAÇÃO</v>
      </c>
      <c r="D660" s="15" t="str">
        <f>VLOOKUP(A660,Base!B:D,3,0)</f>
        <v>PALCOPARANÁ</v>
      </c>
      <c r="E660" s="23" t="str">
        <f>VLOOKUP($A660,Base!B:E,4,0)</f>
        <v>25.298.788/0001-95</v>
      </c>
      <c r="F660" s="24">
        <f>VLOOKUP($A660,Base!B:F,5,0)</f>
        <v>0</v>
      </c>
      <c r="G660" s="23"/>
      <c r="H660" s="17" t="s">
        <v>13</v>
      </c>
      <c r="I660" s="19">
        <v>2057.79</v>
      </c>
      <c r="J660" s="20"/>
      <c r="K660" s="21">
        <f t="shared" si="10"/>
        <v>2553.2200000000512</v>
      </c>
    </row>
    <row r="661" spans="1:11" ht="12" customHeight="1" x14ac:dyDescent="0.25">
      <c r="A661" s="28">
        <v>4</v>
      </c>
      <c r="B661" s="14">
        <v>43791</v>
      </c>
      <c r="C661" s="15" t="str">
        <f>VLOOKUP(A661,Base!B:C,2,0)</f>
        <v>3.3.90.39.47 - SERVIÇO DE COMUNICAÇÃO EM GERAL</v>
      </c>
      <c r="D661" s="15" t="str">
        <f>VLOOKUP(A661,Base!B:D,3,0)</f>
        <v>DPTO DE IMPRENSA OFICIAL ESTADO DO PARANÁ</v>
      </c>
      <c r="E661" s="23" t="str">
        <f>VLOOKUP($A661,Base!B:E,4,0)</f>
        <v>76.437.383/0001-21</v>
      </c>
      <c r="F661" s="24" t="str">
        <f>VLOOKUP($A661,Base!B:F,5,0)</f>
        <v>NOTA FISCAL</v>
      </c>
      <c r="G661" s="23">
        <v>2019288601</v>
      </c>
      <c r="H661" s="17" t="s">
        <v>413</v>
      </c>
      <c r="I661" s="19"/>
      <c r="J661" s="20">
        <v>90</v>
      </c>
      <c r="K661" s="21">
        <f t="shared" si="10"/>
        <v>2463.2200000000512</v>
      </c>
    </row>
    <row r="662" spans="1:11" ht="12" customHeight="1" x14ac:dyDescent="0.25">
      <c r="A662" s="28">
        <v>20</v>
      </c>
      <c r="B662" s="14">
        <v>43794</v>
      </c>
      <c r="C662" s="15" t="str">
        <f>VLOOKUP(A662,Base!B:C,2,0)</f>
        <v>3.1.90.47.01 - PIS/PASEP</v>
      </c>
      <c r="D662" s="15" t="str">
        <f>VLOOKUP(A662,Base!B:D,3,0)</f>
        <v>MINISTÉRIO DA FAZENDA - UNIÃO</v>
      </c>
      <c r="E662" s="23" t="str">
        <f>VLOOKUP($A662,Base!B:E,4,0)</f>
        <v>25.298.788/0001-95 -8301</v>
      </c>
      <c r="F662" s="24" t="str">
        <f>VLOOKUP($A662,Base!B:F,5,0)</f>
        <v>DARF PIS</v>
      </c>
      <c r="G662" s="23"/>
      <c r="H662" s="17" t="s">
        <v>414</v>
      </c>
      <c r="I662" s="19"/>
      <c r="J662" s="20">
        <v>2665.73</v>
      </c>
      <c r="K662" s="21">
        <f t="shared" si="10"/>
        <v>-202.50999999994883</v>
      </c>
    </row>
    <row r="663" spans="1:11" ht="12" customHeight="1" x14ac:dyDescent="0.25">
      <c r="A663" s="28">
        <v>4</v>
      </c>
      <c r="B663" s="14">
        <v>43794</v>
      </c>
      <c r="C663" s="15" t="str">
        <f>VLOOKUP(A663,Base!B:C,2,0)</f>
        <v>3.3.90.39.47 - SERVIÇO DE COMUNICAÇÃO EM GERAL</v>
      </c>
      <c r="D663" s="15" t="str">
        <f>VLOOKUP(A663,Base!B:D,3,0)</f>
        <v>DPTO DE IMPRENSA OFICIAL ESTADO DO PARANÁ</v>
      </c>
      <c r="E663" s="23" t="str">
        <f>VLOOKUP($A663,Base!B:E,4,0)</f>
        <v>76.437.383/0001-21</v>
      </c>
      <c r="F663" s="24" t="str">
        <f>VLOOKUP($A663,Base!B:F,5,0)</f>
        <v>NOTA FISCAL</v>
      </c>
      <c r="G663" s="23">
        <v>2019288753</v>
      </c>
      <c r="H663" s="17" t="s">
        <v>415</v>
      </c>
      <c r="I663" s="19"/>
      <c r="J663" s="20">
        <v>210</v>
      </c>
      <c r="K663" s="21">
        <f t="shared" si="10"/>
        <v>-412.50999999994883</v>
      </c>
    </row>
    <row r="664" spans="1:11" ht="12" customHeight="1" x14ac:dyDescent="0.25">
      <c r="A664" s="28">
        <v>14</v>
      </c>
      <c r="B664" s="14">
        <v>43794</v>
      </c>
      <c r="C664" s="15" t="str">
        <f>VLOOKUP(A664,Base!B:C,2,0)</f>
        <v>3.3.90.39.39 - ENCARGOS FINANCEIROS INDEDUTÍVEIS</v>
      </c>
      <c r="D664" s="15" t="str">
        <f>VLOOKUP(A664,Base!B:D,3,0)</f>
        <v>BANCO DO BRASIL</v>
      </c>
      <c r="E664" s="23">
        <f>VLOOKUP($A664,Base!B:E,4,0)</f>
        <v>191</v>
      </c>
      <c r="F664" s="24" t="str">
        <f>VLOOKUP($A664,Base!B:F,5,0)</f>
        <v>AVISO DE DÉBITO</v>
      </c>
      <c r="G664" s="23"/>
      <c r="H664" s="17" t="s">
        <v>176</v>
      </c>
      <c r="I664" s="19"/>
      <c r="J664" s="20">
        <v>52.35</v>
      </c>
      <c r="K664" s="21">
        <f t="shared" si="10"/>
        <v>-464.85999999994885</v>
      </c>
    </row>
    <row r="665" spans="1:11" ht="12" customHeight="1" x14ac:dyDescent="0.25">
      <c r="A665" s="28">
        <v>5</v>
      </c>
      <c r="B665" s="14">
        <v>43794</v>
      </c>
      <c r="C665" s="15" t="str">
        <f>VLOOKUP(A665,Base!B:C,2,0)</f>
        <v>RESGATE APLICAÇÃO</v>
      </c>
      <c r="D665" s="15" t="str">
        <f>VLOOKUP(A665,Base!B:D,3,0)</f>
        <v>PALCOPARANÁ</v>
      </c>
      <c r="E665" s="23" t="str">
        <f>VLOOKUP($A665,Base!B:E,4,0)</f>
        <v>25.298.788/0001-95</v>
      </c>
      <c r="F665" s="24">
        <f>VLOOKUP($A665,Base!B:F,5,0)</f>
        <v>0</v>
      </c>
      <c r="G665" s="23"/>
      <c r="H665" s="17" t="s">
        <v>13</v>
      </c>
      <c r="I665" s="19">
        <v>500</v>
      </c>
      <c r="J665" s="20"/>
      <c r="K665" s="21">
        <f t="shared" si="10"/>
        <v>35.140000000051145</v>
      </c>
    </row>
    <row r="666" spans="1:11" ht="12" customHeight="1" x14ac:dyDescent="0.25">
      <c r="A666" s="28">
        <v>19</v>
      </c>
      <c r="B666" s="14">
        <v>43794</v>
      </c>
      <c r="C666" s="15" t="str">
        <f>VLOOKUP(A666,Base!B:C,2,0)</f>
        <v>CRÉDITO</v>
      </c>
      <c r="D666" s="15" t="str">
        <f>VLOOKUP(A666,Base!B:D,3,0)</f>
        <v>PALCOPARANÁ</v>
      </c>
      <c r="E666" s="23" t="str">
        <f>VLOOKUP($A666,Base!B:E,4,0)</f>
        <v>25.298.788/0001-95</v>
      </c>
      <c r="F666" s="24">
        <f>VLOOKUP($A666,Base!B:F,5,0)</f>
        <v>0</v>
      </c>
      <c r="G666" s="23"/>
      <c r="H666" s="17" t="s">
        <v>416</v>
      </c>
      <c r="I666" s="19">
        <v>7</v>
      </c>
      <c r="J666" s="20"/>
      <c r="K666" s="21">
        <f t="shared" si="10"/>
        <v>42.140000000051145</v>
      </c>
    </row>
    <row r="667" spans="1:11" ht="12" customHeight="1" x14ac:dyDescent="0.25">
      <c r="A667" s="28">
        <v>5</v>
      </c>
      <c r="B667" s="14">
        <v>43794</v>
      </c>
      <c r="C667" s="15" t="str">
        <f>VLOOKUP(A667,Base!B:C,2,0)</f>
        <v>RESGATE APLICAÇÃO</v>
      </c>
      <c r="D667" s="15" t="str">
        <f>VLOOKUP(A667,Base!B:D,3,0)</f>
        <v>PALCOPARANÁ</v>
      </c>
      <c r="E667" s="23" t="str">
        <f>VLOOKUP($A667,Base!B:E,4,0)</f>
        <v>25.298.788/0001-95</v>
      </c>
      <c r="F667" s="24">
        <f>VLOOKUP($A667,Base!B:F,5,0)</f>
        <v>0</v>
      </c>
      <c r="G667" s="23"/>
      <c r="H667" s="17" t="s">
        <v>13</v>
      </c>
      <c r="I667" s="19">
        <v>8.8800000000000008</v>
      </c>
      <c r="J667" s="20"/>
      <c r="K667" s="21">
        <f t="shared" si="10"/>
        <v>51.020000000051148</v>
      </c>
    </row>
    <row r="668" spans="1:11" ht="12" customHeight="1" x14ac:dyDescent="0.25">
      <c r="A668" s="28">
        <v>4</v>
      </c>
      <c r="B668" s="14">
        <v>43795</v>
      </c>
      <c r="C668" s="15" t="str">
        <f>VLOOKUP(A668,Base!B:C,2,0)</f>
        <v>3.3.90.39.47 - SERVIÇO DE COMUNICAÇÃO EM GERAL</v>
      </c>
      <c r="D668" s="15" t="str">
        <f>VLOOKUP(A668,Base!B:D,3,0)</f>
        <v>DPTO DE IMPRENSA OFICIAL ESTADO DO PARANÁ</v>
      </c>
      <c r="E668" s="23" t="str">
        <f>VLOOKUP($A668,Base!B:E,4,0)</f>
        <v>76.437.383/0001-21</v>
      </c>
      <c r="F668" s="24" t="str">
        <f>VLOOKUP($A668,Base!B:F,5,0)</f>
        <v>NOTA FISCAL</v>
      </c>
      <c r="G668" s="23">
        <v>2019288845</v>
      </c>
      <c r="H668" s="17" t="s">
        <v>417</v>
      </c>
      <c r="I668" s="19"/>
      <c r="J668" s="20">
        <v>120</v>
      </c>
      <c r="K668" s="21">
        <f t="shared" si="10"/>
        <v>-68.979999999948859</v>
      </c>
    </row>
    <row r="669" spans="1:11" ht="12" customHeight="1" x14ac:dyDescent="0.25">
      <c r="A669" s="28">
        <v>9</v>
      </c>
      <c r="B669" s="14">
        <v>43792</v>
      </c>
      <c r="C669" s="15" t="str">
        <f>VLOOKUP(A669,Base!B:C,2,0)</f>
        <v>3.3.90.39.12 - LOCAÇÃO DE MÁQUINAS E EQUIPAMENTOS</v>
      </c>
      <c r="D669" s="15" t="str">
        <f>VLOOKUP(A669,Base!B:D,3,0)</f>
        <v>INTERATIVA SOLUÇÕES EM INFORMATICA LTDA</v>
      </c>
      <c r="E669" s="23" t="str">
        <f>VLOOKUP($A669,Base!B:E,4,0)</f>
        <v>04.192.385/0001-97</v>
      </c>
      <c r="F669" s="24" t="str">
        <f>VLOOKUP($A669,Base!B:F,5,0)</f>
        <v>NFS-e</v>
      </c>
      <c r="G669" s="23">
        <v>7156</v>
      </c>
      <c r="H669" s="17" t="s">
        <v>21</v>
      </c>
      <c r="I669" s="19"/>
      <c r="J669" s="20">
        <v>1174</v>
      </c>
      <c r="K669" s="21">
        <f t="shared" si="10"/>
        <v>-1242.9799999999489</v>
      </c>
    </row>
    <row r="670" spans="1:11" ht="12" customHeight="1" x14ac:dyDescent="0.25">
      <c r="A670" s="28">
        <v>5</v>
      </c>
      <c r="B670" s="14">
        <v>43795</v>
      </c>
      <c r="C670" s="15" t="str">
        <f>VLOOKUP(A670,Base!B:C,2,0)</f>
        <v>RESGATE APLICAÇÃO</v>
      </c>
      <c r="D670" s="15" t="str">
        <f>VLOOKUP(A670,Base!B:D,3,0)</f>
        <v>PALCOPARANÁ</v>
      </c>
      <c r="E670" s="23" t="str">
        <f>VLOOKUP($A670,Base!B:E,4,0)</f>
        <v>25.298.788/0001-95</v>
      </c>
      <c r="F670" s="24">
        <f>VLOOKUP($A670,Base!B:F,5,0)</f>
        <v>0</v>
      </c>
      <c r="G670" s="23"/>
      <c r="H670" s="17" t="s">
        <v>13</v>
      </c>
      <c r="I670" s="19">
        <v>1500</v>
      </c>
      <c r="J670" s="20"/>
      <c r="K670" s="21">
        <f t="shared" si="10"/>
        <v>257.02000000005114</v>
      </c>
    </row>
    <row r="671" spans="1:11" ht="12" customHeight="1" x14ac:dyDescent="0.25">
      <c r="A671" s="28">
        <v>5</v>
      </c>
      <c r="B671" s="14">
        <v>43796</v>
      </c>
      <c r="C671" s="15" t="str">
        <f>VLOOKUP(A671,Base!B:C,2,0)</f>
        <v>RESGATE APLICAÇÃO</v>
      </c>
      <c r="D671" s="15" t="str">
        <f>VLOOKUP(A671,Base!B:D,3,0)</f>
        <v>PALCOPARANÁ</v>
      </c>
      <c r="E671" s="23" t="str">
        <f>VLOOKUP($A671,Base!B:E,4,0)</f>
        <v>25.298.788/0001-95</v>
      </c>
      <c r="F671" s="24">
        <f>VLOOKUP($A671,Base!B:F,5,0)</f>
        <v>0</v>
      </c>
      <c r="G671" s="23"/>
      <c r="H671" s="17" t="s">
        <v>13</v>
      </c>
      <c r="I671" s="19">
        <v>26.91</v>
      </c>
      <c r="J671" s="20"/>
      <c r="K671" s="21">
        <f t="shared" si="10"/>
        <v>283.93000000005117</v>
      </c>
    </row>
    <row r="672" spans="1:11" ht="12" customHeight="1" x14ac:dyDescent="0.25">
      <c r="A672" s="28">
        <v>42</v>
      </c>
      <c r="B672" s="14">
        <v>43796</v>
      </c>
      <c r="C672" s="15" t="str">
        <f>VLOOKUP(A672,Base!B:C,2,0)</f>
        <v xml:space="preserve">3.3.90.39.00 – OUTROES SERVIÇOS DE TERCEIROS </v>
      </c>
      <c r="D672" s="15" t="str">
        <f>VLOOKUP(A672,Base!B:D,3,0)</f>
        <v>Contratação por Edital de Chamamento nº 01/2024</v>
      </c>
      <c r="E672" s="23">
        <f>VLOOKUP($A672,Base!B:E,4,0)</f>
        <v>0</v>
      </c>
      <c r="F672" s="24" t="str">
        <f>VLOOKUP($A672,Base!B:F,5,0)</f>
        <v>NFS-e/RPA</v>
      </c>
      <c r="G672" s="23"/>
      <c r="H672" s="17" t="s">
        <v>418</v>
      </c>
      <c r="I672" s="19"/>
      <c r="J672" s="20">
        <v>120088.04</v>
      </c>
      <c r="K672" s="21">
        <f t="shared" si="10"/>
        <v>-119804.10999999994</v>
      </c>
    </row>
    <row r="673" spans="1:11" ht="12" customHeight="1" x14ac:dyDescent="0.25">
      <c r="A673" s="28">
        <v>43</v>
      </c>
      <c r="B673" s="14">
        <v>43796</v>
      </c>
      <c r="C673" s="15" t="str">
        <f>VLOOKUP(A673,Base!B:C,2,0)</f>
        <v>3.1.90.11.65 - DÉCIMO TERCEIRO SALÁRIO - RGPS</v>
      </c>
      <c r="D673" s="15" t="s">
        <v>419</v>
      </c>
      <c r="E673" s="23" t="s">
        <v>420</v>
      </c>
      <c r="F673" s="24" t="str">
        <f>VLOOKUP($A673,Base!B:F,5,0)</f>
        <v>RECIBO</v>
      </c>
      <c r="G673" s="23"/>
      <c r="H673" s="17" t="s">
        <v>421</v>
      </c>
      <c r="I673" s="19"/>
      <c r="J673" s="20">
        <v>2612.5</v>
      </c>
      <c r="K673" s="21">
        <f t="shared" si="10"/>
        <v>-122416.60999999994</v>
      </c>
    </row>
    <row r="674" spans="1:11" ht="12" customHeight="1" x14ac:dyDescent="0.25">
      <c r="A674" s="28">
        <v>4</v>
      </c>
      <c r="B674" s="14">
        <v>43796</v>
      </c>
      <c r="C674" s="15" t="str">
        <f>VLOOKUP(A674,Base!B:C,2,0)</f>
        <v>3.3.90.39.47 - SERVIÇO DE COMUNICAÇÃO EM GERAL</v>
      </c>
      <c r="D674" s="15" t="str">
        <f>VLOOKUP(A674,Base!B:D,3,0)</f>
        <v>DPTO DE IMPRENSA OFICIAL ESTADO DO PARANÁ</v>
      </c>
      <c r="E674" s="23" t="str">
        <f>VLOOKUP($A674,Base!B:E,4,0)</f>
        <v>76.437.383/0001-21</v>
      </c>
      <c r="F674" s="24" t="str">
        <f>VLOOKUP($A674,Base!B:F,5,0)</f>
        <v>NOTA FISCAL</v>
      </c>
      <c r="G674" s="23">
        <v>2019288954</v>
      </c>
      <c r="H674" s="17" t="s">
        <v>422</v>
      </c>
      <c r="I674" s="19"/>
      <c r="J674" s="20">
        <v>150</v>
      </c>
      <c r="K674" s="21">
        <f t="shared" si="10"/>
        <v>-122566.60999999994</v>
      </c>
    </row>
    <row r="675" spans="1:11" ht="12" customHeight="1" x14ac:dyDescent="0.25">
      <c r="A675" s="28">
        <v>5</v>
      </c>
      <c r="B675" s="14">
        <v>43796</v>
      </c>
      <c r="C675" s="15" t="str">
        <f>VLOOKUP(A675,Base!B:C,2,0)</f>
        <v>RESGATE APLICAÇÃO</v>
      </c>
      <c r="D675" s="15" t="str">
        <f>VLOOKUP(A675,Base!B:D,3,0)</f>
        <v>PALCOPARANÁ</v>
      </c>
      <c r="E675" s="23" t="str">
        <f>VLOOKUP($A675,Base!B:E,4,0)</f>
        <v>25.298.788/0001-95</v>
      </c>
      <c r="F675" s="24">
        <f>VLOOKUP($A675,Base!B:F,5,0)</f>
        <v>0</v>
      </c>
      <c r="G675" s="23"/>
      <c r="H675" s="17" t="s">
        <v>13</v>
      </c>
      <c r="I675" s="19">
        <v>123000</v>
      </c>
      <c r="J675" s="20"/>
      <c r="K675" s="21">
        <f t="shared" si="10"/>
        <v>433.39000000005763</v>
      </c>
    </row>
    <row r="676" spans="1:11" ht="12" customHeight="1" x14ac:dyDescent="0.25">
      <c r="A676" s="28">
        <v>5</v>
      </c>
      <c r="B676" s="14">
        <v>43797</v>
      </c>
      <c r="C676" s="15" t="str">
        <f>VLOOKUP(A676,Base!B:C,2,0)</f>
        <v>RESGATE APLICAÇÃO</v>
      </c>
      <c r="D676" s="15" t="str">
        <f>VLOOKUP(A676,Base!B:D,3,0)</f>
        <v>PALCOPARANÁ</v>
      </c>
      <c r="E676" s="23" t="str">
        <f>VLOOKUP($A676,Base!B:E,4,0)</f>
        <v>25.298.788/0001-95</v>
      </c>
      <c r="F676" s="24">
        <f>VLOOKUP($A676,Base!B:F,5,0)</f>
        <v>0</v>
      </c>
      <c r="G676" s="23"/>
      <c r="H676" s="17" t="s">
        <v>13</v>
      </c>
      <c r="I676" s="19">
        <v>2228.7600000000002</v>
      </c>
      <c r="J676" s="20"/>
      <c r="K676" s="21">
        <f t="shared" si="10"/>
        <v>2662.1500000000578</v>
      </c>
    </row>
    <row r="677" spans="1:11" ht="12" customHeight="1" x14ac:dyDescent="0.25">
      <c r="A677" s="28">
        <v>3</v>
      </c>
      <c r="B677" s="14">
        <v>43797</v>
      </c>
      <c r="C677" s="15" t="str">
        <f>VLOOKUP(A677,Base!B:C,2,0)</f>
        <v>3.1.90.46.03 - AUXÍLIO-ALIMENTAÇÃO</v>
      </c>
      <c r="D677" s="15" t="str">
        <f>VLOOKUP(A677,Base!B:D,3,0)</f>
        <v>COLABORADORES DIVERSOS</v>
      </c>
      <c r="E677" s="23">
        <f>VLOOKUP($A677,Base!B:E,4,0)</f>
        <v>0</v>
      </c>
      <c r="F677" s="24" t="str">
        <f>VLOOKUP($A677,Base!B:F,5,0)</f>
        <v>RECIBO</v>
      </c>
      <c r="G677" s="23"/>
      <c r="H677" s="17" t="s">
        <v>423</v>
      </c>
      <c r="I677" s="19"/>
      <c r="J677" s="20">
        <v>3152</v>
      </c>
      <c r="K677" s="21">
        <f t="shared" si="10"/>
        <v>-489.84999999994216</v>
      </c>
    </row>
    <row r="678" spans="1:11" ht="12" customHeight="1" x14ac:dyDescent="0.25">
      <c r="A678" s="28">
        <v>13</v>
      </c>
      <c r="B678" s="14">
        <v>43797</v>
      </c>
      <c r="C678" s="15" t="str">
        <f>VLOOKUP(A678,Base!B:C,2,0)</f>
        <v>3.1.90.46.03 - AUXÍLIO-ALIMENTAÇÃO</v>
      </c>
      <c r="D678" s="15"/>
      <c r="E678" s="23">
        <f>VLOOKUP($A678,Base!B:E,4,0)</f>
        <v>0</v>
      </c>
      <c r="F678" s="24" t="str">
        <f>VLOOKUP($A678,Base!B:F,5,0)</f>
        <v>RECIBO</v>
      </c>
      <c r="G678" s="23"/>
      <c r="H678" s="17" t="s">
        <v>424</v>
      </c>
      <c r="I678" s="19"/>
      <c r="J678" s="20">
        <v>256</v>
      </c>
      <c r="K678" s="21">
        <f t="shared" si="10"/>
        <v>-745.84999999994216</v>
      </c>
    </row>
    <row r="679" spans="1:11" ht="12" customHeight="1" x14ac:dyDescent="0.25">
      <c r="A679" s="28">
        <v>1</v>
      </c>
      <c r="B679" s="14">
        <v>43797</v>
      </c>
      <c r="C679" s="15" t="str">
        <f>VLOOKUP(A679,Base!B:C,2,0)</f>
        <v>3.1.90.11.61 - VENCIMENTOS E SALÁRIOS</v>
      </c>
      <c r="D679" s="15" t="str">
        <f>VLOOKUP(A679,Base!B:D,3,0)</f>
        <v>COLABORADORES DIVERSOS</v>
      </c>
      <c r="E679" s="23">
        <f>VLOOKUP($A679,Base!B:E,4,0)</f>
        <v>0</v>
      </c>
      <c r="F679" s="24" t="str">
        <f>VLOOKUP($A679,Base!B:F,5,0)</f>
        <v>HOLERITE</v>
      </c>
      <c r="G679" s="23"/>
      <c r="H679" s="17" t="s">
        <v>425</v>
      </c>
      <c r="I679" s="19"/>
      <c r="J679" s="20">
        <v>207603.41</v>
      </c>
      <c r="K679" s="21">
        <f t="shared" si="10"/>
        <v>-208349.25999999995</v>
      </c>
    </row>
    <row r="680" spans="1:11" ht="12" customHeight="1" x14ac:dyDescent="0.25">
      <c r="A680" s="28">
        <v>13</v>
      </c>
      <c r="B680" s="14">
        <v>43797</v>
      </c>
      <c r="C680" s="15" t="str">
        <f>VLOOKUP(A680,Base!B:C,2,0)</f>
        <v>3.1.90.46.03 - AUXÍLIO-ALIMENTAÇÃO</v>
      </c>
      <c r="D680" s="15" t="s">
        <v>187</v>
      </c>
      <c r="E680" s="23" t="s">
        <v>188</v>
      </c>
      <c r="F680" s="24" t="str">
        <f>VLOOKUP($A680,Base!B:F,5,0)</f>
        <v>RECIBO</v>
      </c>
      <c r="G680" s="23"/>
      <c r="H680" s="17" t="s">
        <v>423</v>
      </c>
      <c r="I680" s="19"/>
      <c r="J680" s="20">
        <v>240</v>
      </c>
      <c r="K680" s="21">
        <f t="shared" si="10"/>
        <v>-208589.25999999995</v>
      </c>
    </row>
    <row r="681" spans="1:11" ht="12" customHeight="1" x14ac:dyDescent="0.25">
      <c r="A681" s="28">
        <v>5</v>
      </c>
      <c r="B681" s="14">
        <v>43797</v>
      </c>
      <c r="C681" s="15" t="str">
        <f>VLOOKUP(A681,Base!B:C,2,0)</f>
        <v>RESGATE APLICAÇÃO</v>
      </c>
      <c r="D681" s="15" t="str">
        <f>VLOOKUP(A681,Base!B:D,3,0)</f>
        <v>PALCOPARANÁ</v>
      </c>
      <c r="E681" s="23" t="str">
        <f>VLOOKUP($A681,Base!B:E,4,0)</f>
        <v>25.298.788/0001-95</v>
      </c>
      <c r="F681" s="24">
        <f>VLOOKUP($A681,Base!B:F,5,0)</f>
        <v>0</v>
      </c>
      <c r="G681" s="23"/>
      <c r="H681" s="17" t="s">
        <v>13</v>
      </c>
      <c r="I681" s="19">
        <v>209000</v>
      </c>
      <c r="J681" s="20"/>
      <c r="K681" s="21">
        <f t="shared" si="10"/>
        <v>410.74000000004889</v>
      </c>
    </row>
    <row r="682" spans="1:11" ht="12" customHeight="1" x14ac:dyDescent="0.25">
      <c r="A682" s="28">
        <v>5</v>
      </c>
      <c r="B682" s="14">
        <v>43798</v>
      </c>
      <c r="C682" s="15" t="str">
        <f>VLOOKUP(A682,Base!B:C,2,0)</f>
        <v>RESGATE APLICAÇÃO</v>
      </c>
      <c r="D682" s="15" t="str">
        <f>VLOOKUP(A682,Base!B:D,3,0)</f>
        <v>PALCOPARANÁ</v>
      </c>
      <c r="E682" s="23" t="str">
        <f>VLOOKUP($A682,Base!B:E,4,0)</f>
        <v>25.298.788/0001-95</v>
      </c>
      <c r="F682" s="24">
        <f>VLOOKUP($A682,Base!B:F,5,0)</f>
        <v>0</v>
      </c>
      <c r="G682" s="23"/>
      <c r="H682" s="17" t="s">
        <v>13</v>
      </c>
      <c r="I682" s="19">
        <v>3824.7</v>
      </c>
      <c r="J682" s="20"/>
      <c r="K682" s="21">
        <f t="shared" si="10"/>
        <v>4235.4400000000487</v>
      </c>
    </row>
    <row r="683" spans="1:11" ht="12" customHeight="1" x14ac:dyDescent="0.25">
      <c r="A683" s="28">
        <v>43</v>
      </c>
      <c r="B683" s="14">
        <v>43798</v>
      </c>
      <c r="C683" s="15" t="str">
        <f>VLOOKUP(A683,Base!B:C,2,0)</f>
        <v>3.1.90.11.65 - DÉCIMO TERCEIRO SALÁRIO - RGPS</v>
      </c>
      <c r="D683" s="15" t="s">
        <v>62</v>
      </c>
      <c r="E683" s="23" t="s">
        <v>120</v>
      </c>
      <c r="F683" s="24" t="str">
        <f>VLOOKUP($A683,Base!B:F,5,0)</f>
        <v>RECIBO</v>
      </c>
      <c r="G683" s="23"/>
      <c r="H683" s="17" t="s">
        <v>421</v>
      </c>
      <c r="I683" s="19"/>
      <c r="J683" s="20">
        <v>6932.43</v>
      </c>
      <c r="K683" s="21">
        <f t="shared" si="10"/>
        <v>-2696.9899999999516</v>
      </c>
    </row>
    <row r="684" spans="1:11" ht="12" customHeight="1" x14ac:dyDescent="0.25">
      <c r="A684" s="28">
        <v>14</v>
      </c>
      <c r="B684" s="14">
        <v>43798</v>
      </c>
      <c r="C684" s="15" t="str">
        <f>VLOOKUP(A684,Base!B:C,2,0)</f>
        <v>3.3.90.39.39 - ENCARGOS FINANCEIROS INDEDUTÍVEIS</v>
      </c>
      <c r="D684" s="15" t="str">
        <f>VLOOKUP(A684,Base!B:D,3,0)</f>
        <v>BANCO DO BRASIL</v>
      </c>
      <c r="E684" s="23">
        <f>VLOOKUP($A684,Base!B:E,4,0)</f>
        <v>191</v>
      </c>
      <c r="F684" s="24" t="str">
        <f>VLOOKUP($A684,Base!B:F,5,0)</f>
        <v>AVISO DE DÉBITO</v>
      </c>
      <c r="G684" s="23"/>
      <c r="H684" s="17" t="s">
        <v>426</v>
      </c>
      <c r="I684" s="19"/>
      <c r="J684" s="20">
        <v>10.45</v>
      </c>
      <c r="K684" s="21">
        <f t="shared" si="10"/>
        <v>-2707.4399999999514</v>
      </c>
    </row>
    <row r="685" spans="1:11" ht="12" customHeight="1" x14ac:dyDescent="0.25">
      <c r="A685" s="28">
        <v>5</v>
      </c>
      <c r="B685" s="14">
        <v>43799</v>
      </c>
      <c r="C685" s="15" t="str">
        <f>VLOOKUP(A685,Base!B:C,2,0)</f>
        <v>RESGATE APLICAÇÃO</v>
      </c>
      <c r="D685" s="15" t="str">
        <f>VLOOKUP(A685,Base!B:D,3,0)</f>
        <v>PALCOPARANÁ</v>
      </c>
      <c r="E685" s="23" t="str">
        <f>VLOOKUP($A685,Base!B:E,4,0)</f>
        <v>25.298.788/0001-95</v>
      </c>
      <c r="F685" s="24">
        <f>VLOOKUP($A685,Base!B:F,5,0)</f>
        <v>0</v>
      </c>
      <c r="G685" s="23"/>
      <c r="H685" s="17" t="s">
        <v>13</v>
      </c>
      <c r="I685" s="19">
        <v>3000</v>
      </c>
      <c r="J685" s="20"/>
      <c r="K685" s="21">
        <f t="shared" si="10"/>
        <v>292.5600000000486</v>
      </c>
    </row>
    <row r="686" spans="1:11" ht="12" customHeight="1" x14ac:dyDescent="0.25">
      <c r="A686" s="28">
        <v>5</v>
      </c>
      <c r="B686" s="14">
        <v>43799</v>
      </c>
      <c r="C686" s="15" t="str">
        <f>VLOOKUP(A686,Base!B:C,2,0)</f>
        <v>RESGATE APLICAÇÃO</v>
      </c>
      <c r="D686" s="15" t="str">
        <f>VLOOKUP(A686,Base!B:D,3,0)</f>
        <v>PALCOPARANÁ</v>
      </c>
      <c r="E686" s="23" t="str">
        <f>VLOOKUP($A686,Base!B:E,4,0)</f>
        <v>25.298.788/0001-95</v>
      </c>
      <c r="F686" s="24">
        <f>VLOOKUP($A686,Base!B:F,5,0)</f>
        <v>0</v>
      </c>
      <c r="G686" s="23"/>
      <c r="H686" s="17" t="s">
        <v>13</v>
      </c>
      <c r="I686" s="19">
        <v>55.44</v>
      </c>
      <c r="J686" s="20"/>
      <c r="K686" s="21">
        <f t="shared" si="10"/>
        <v>348.0000000000486</v>
      </c>
    </row>
    <row r="687" spans="1:11" ht="12" customHeight="1" x14ac:dyDescent="0.25">
      <c r="A687" s="28">
        <v>2</v>
      </c>
      <c r="B687" s="14">
        <v>43801</v>
      </c>
      <c r="C687" s="15" t="str">
        <f>VLOOKUP(A687,Base!B:C,2,0)</f>
        <v>3.1.90.11.61 - VENCIMENTOS E SALÁRIOS</v>
      </c>
      <c r="D687" s="15" t="str">
        <f>VLOOKUP(A687,Base!B:D,3,0)</f>
        <v>NICOLE BARÃO RAFFS</v>
      </c>
      <c r="E687" s="23" t="str">
        <f>VLOOKUP($A687,Base!B:E,4,0)</f>
        <v>020.621.669-66</v>
      </c>
      <c r="F687" s="24" t="str">
        <f>VLOOKUP($A687,Base!B:F,5,0)</f>
        <v>HOLERITE</v>
      </c>
      <c r="G687" s="23"/>
      <c r="H687" s="17" t="s">
        <v>425</v>
      </c>
      <c r="I687" s="19"/>
      <c r="J687" s="20">
        <v>10580.1</v>
      </c>
      <c r="K687" s="21">
        <f t="shared" si="10"/>
        <v>-10232.099999999951</v>
      </c>
    </row>
    <row r="688" spans="1:11" ht="12" customHeight="1" x14ac:dyDescent="0.25">
      <c r="A688" s="28">
        <v>12</v>
      </c>
      <c r="B688" s="14">
        <v>43801</v>
      </c>
      <c r="C688" s="15" t="str">
        <f>VLOOKUP(A688,Base!B:C,2,0)</f>
        <v>3.1.90.46.03 - AUXÍLIO-ALIMENTAÇÃO</v>
      </c>
      <c r="D688" s="15" t="str">
        <f>VLOOKUP(A688,Base!B:D,3,0)</f>
        <v>NICOLE BARÃO RAFFS</v>
      </c>
      <c r="E688" s="23" t="str">
        <f>VLOOKUP($A688,Base!B:E,4,0)</f>
        <v>020.621.669-66</v>
      </c>
      <c r="F688" s="24" t="str">
        <f>VLOOKUP($A688,Base!B:F,5,0)</f>
        <v>RECIBO</v>
      </c>
      <c r="G688" s="23"/>
      <c r="H688" s="17" t="s">
        <v>423</v>
      </c>
      <c r="I688" s="19"/>
      <c r="J688" s="20">
        <v>240</v>
      </c>
      <c r="K688" s="21">
        <f t="shared" si="10"/>
        <v>-10472.099999999951</v>
      </c>
    </row>
    <row r="689" spans="1:11" ht="12" customHeight="1" x14ac:dyDescent="0.25">
      <c r="A689" s="28">
        <v>13</v>
      </c>
      <c r="B689" s="14">
        <v>43801</v>
      </c>
      <c r="C689" s="15" t="str">
        <f>VLOOKUP(A689,Base!B:C,2,0)</f>
        <v>3.1.90.46.03 - AUXÍLIO-ALIMENTAÇÃO</v>
      </c>
      <c r="D689" s="15" t="s">
        <v>68</v>
      </c>
      <c r="E689" s="23" t="s">
        <v>69</v>
      </c>
      <c r="F689" s="24" t="str">
        <f>VLOOKUP($A689,Base!B:F,5,0)</f>
        <v>RECIBO</v>
      </c>
      <c r="G689" s="23"/>
      <c r="H689" s="17" t="s">
        <v>423</v>
      </c>
      <c r="I689" s="19"/>
      <c r="J689" s="20">
        <v>128</v>
      </c>
      <c r="K689" s="21">
        <f t="shared" si="10"/>
        <v>-10600.099999999951</v>
      </c>
    </row>
    <row r="690" spans="1:11" ht="12" customHeight="1" x14ac:dyDescent="0.25">
      <c r="A690" s="28">
        <v>13</v>
      </c>
      <c r="B690" s="14">
        <v>43801</v>
      </c>
      <c r="C690" s="15" t="str">
        <f>VLOOKUP(A690,Base!B:C,2,0)</f>
        <v>3.1.90.46.03 - AUXÍLIO-ALIMENTAÇÃO</v>
      </c>
      <c r="D690" s="15" t="s">
        <v>36</v>
      </c>
      <c r="E690" s="23" t="s">
        <v>37</v>
      </c>
      <c r="F690" s="24" t="str">
        <f>VLOOKUP($A690,Base!B:F,5,0)</f>
        <v>RECIBO</v>
      </c>
      <c r="G690" s="23"/>
      <c r="H690" s="17" t="s">
        <v>423</v>
      </c>
      <c r="I690" s="19"/>
      <c r="J690" s="20">
        <v>128</v>
      </c>
      <c r="K690" s="21">
        <f t="shared" si="10"/>
        <v>-10728.099999999951</v>
      </c>
    </row>
    <row r="691" spans="1:11" ht="12" customHeight="1" x14ac:dyDescent="0.25">
      <c r="A691" s="28">
        <v>13</v>
      </c>
      <c r="B691" s="14">
        <v>43801</v>
      </c>
      <c r="C691" s="15" t="str">
        <f>VLOOKUP(A691,Base!B:C,2,0)</f>
        <v>3.1.90.46.03 - AUXÍLIO-ALIMENTAÇÃO</v>
      </c>
      <c r="D691" s="15" t="s">
        <v>33</v>
      </c>
      <c r="E691" s="23" t="s">
        <v>34</v>
      </c>
      <c r="F691" s="24" t="str">
        <f>VLOOKUP($A691,Base!B:F,5,0)</f>
        <v>RECIBO</v>
      </c>
      <c r="G691" s="23"/>
      <c r="H691" s="17" t="s">
        <v>423</v>
      </c>
      <c r="I691" s="19"/>
      <c r="J691" s="20">
        <v>128</v>
      </c>
      <c r="K691" s="21">
        <f t="shared" si="10"/>
        <v>-10856.099999999951</v>
      </c>
    </row>
    <row r="692" spans="1:11" ht="12" customHeight="1" x14ac:dyDescent="0.25">
      <c r="A692" s="28">
        <v>4</v>
      </c>
      <c r="B692" s="14">
        <v>43801</v>
      </c>
      <c r="C692" s="15" t="str">
        <f>VLOOKUP(A692,Base!B:C,2,0)</f>
        <v>3.3.90.39.47 - SERVIÇO DE COMUNICAÇÃO EM GERAL</v>
      </c>
      <c r="D692" s="15" t="str">
        <f>VLOOKUP(A692,Base!B:D,3,0)</f>
        <v>DPTO DE IMPRENSA OFICIAL ESTADO DO PARANÁ</v>
      </c>
      <c r="E692" s="23" t="str">
        <f>VLOOKUP($A692,Base!B:E,4,0)</f>
        <v>76.437.383/0001-21</v>
      </c>
      <c r="F692" s="24" t="str">
        <f>VLOOKUP($A692,Base!B:F,5,0)</f>
        <v>NOTA FISCAL</v>
      </c>
      <c r="G692" s="23">
        <v>2019289511</v>
      </c>
      <c r="H692" s="17" t="s">
        <v>427</v>
      </c>
      <c r="I692" s="19"/>
      <c r="J692" s="20">
        <v>150</v>
      </c>
      <c r="K692" s="21">
        <f t="shared" si="10"/>
        <v>-11006.099999999951</v>
      </c>
    </row>
    <row r="693" spans="1:11" ht="12" customHeight="1" x14ac:dyDescent="0.25">
      <c r="A693" s="28">
        <v>4</v>
      </c>
      <c r="B693" s="14">
        <v>43801</v>
      </c>
      <c r="C693" s="15" t="str">
        <f>VLOOKUP(A693,Base!B:C,2,0)</f>
        <v>3.3.90.39.47 - SERVIÇO DE COMUNICAÇÃO EM GERAL</v>
      </c>
      <c r="D693" s="15" t="str">
        <f>VLOOKUP(A693,Base!B:D,3,0)</f>
        <v>DPTO DE IMPRENSA OFICIAL ESTADO DO PARANÁ</v>
      </c>
      <c r="E693" s="23" t="str">
        <f>VLOOKUP($A693,Base!B:E,4,0)</f>
        <v>76.437.383/0001-21</v>
      </c>
      <c r="F693" s="24" t="str">
        <f>VLOOKUP($A693,Base!B:F,5,0)</f>
        <v>NOTA FISCAL</v>
      </c>
      <c r="G693" s="23">
        <v>2019289510</v>
      </c>
      <c r="H693" s="17" t="s">
        <v>428</v>
      </c>
      <c r="I693" s="19"/>
      <c r="J693" s="20">
        <v>180</v>
      </c>
      <c r="K693" s="21">
        <f t="shared" si="10"/>
        <v>-11186.099999999951</v>
      </c>
    </row>
    <row r="694" spans="1:11" ht="12" customHeight="1" x14ac:dyDescent="0.25">
      <c r="A694" s="28">
        <v>41</v>
      </c>
      <c r="B694" s="14">
        <v>43801</v>
      </c>
      <c r="C694" s="15" t="str">
        <f>VLOOKUP(A694,Base!B:C,2,0)</f>
        <v>3.9.90.39.03 - COMISSÕES E CORRETAGENS</v>
      </c>
      <c r="D694" s="15" t="s">
        <v>429</v>
      </c>
      <c r="E694" s="23">
        <f>VLOOKUP($A694,Base!B:E,4,0)</f>
        <v>0</v>
      </c>
      <c r="F694" s="24" t="s">
        <v>430</v>
      </c>
      <c r="G694" s="23"/>
      <c r="H694" s="17" t="s">
        <v>431</v>
      </c>
      <c r="I694" s="19"/>
      <c r="J694" s="20">
        <v>37.04</v>
      </c>
      <c r="K694" s="21">
        <f t="shared" si="10"/>
        <v>-11223.139999999952</v>
      </c>
    </row>
    <row r="695" spans="1:11" ht="12" customHeight="1" x14ac:dyDescent="0.25">
      <c r="A695" s="28">
        <v>14</v>
      </c>
      <c r="B695" s="14">
        <v>43801</v>
      </c>
      <c r="C695" s="15" t="str">
        <f>VLOOKUP(A695,Base!B:C,2,0)</f>
        <v>3.3.90.39.39 - ENCARGOS FINANCEIROS INDEDUTÍVEIS</v>
      </c>
      <c r="D695" s="15" t="str">
        <f>VLOOKUP(A695,Base!B:D,3,0)</f>
        <v>BANCO DO BRASIL</v>
      </c>
      <c r="E695" s="23">
        <f>VLOOKUP($A695,Base!B:E,4,0)</f>
        <v>191</v>
      </c>
      <c r="F695" s="24" t="str">
        <f>VLOOKUP($A695,Base!B:F,5,0)</f>
        <v>AVISO DE DÉBITO</v>
      </c>
      <c r="G695" s="23"/>
      <c r="H695" s="17" t="s">
        <v>381</v>
      </c>
      <c r="I695" s="19"/>
      <c r="J695" s="20">
        <v>17.100000000000001</v>
      </c>
      <c r="K695" s="21">
        <f t="shared" si="10"/>
        <v>-11240.239999999952</v>
      </c>
    </row>
    <row r="696" spans="1:11" ht="12" customHeight="1" x14ac:dyDescent="0.25">
      <c r="A696" s="28">
        <v>5</v>
      </c>
      <c r="B696" s="14">
        <v>43801</v>
      </c>
      <c r="C696" s="15" t="str">
        <f>VLOOKUP(A696,Base!B:C,2,0)</f>
        <v>RESGATE APLICAÇÃO</v>
      </c>
      <c r="D696" s="15" t="str">
        <f>VLOOKUP(A696,Base!B:D,3,0)</f>
        <v>PALCOPARANÁ</v>
      </c>
      <c r="E696" s="23" t="str">
        <f>VLOOKUP($A696,Base!B:E,4,0)</f>
        <v>25.298.788/0001-95</v>
      </c>
      <c r="F696" s="24">
        <f>VLOOKUP($A696,Base!B:F,5,0)</f>
        <v>0</v>
      </c>
      <c r="G696" s="23"/>
      <c r="H696" s="17" t="s">
        <v>13</v>
      </c>
      <c r="I696" s="19">
        <v>11500</v>
      </c>
      <c r="J696" s="20"/>
      <c r="K696" s="21">
        <f t="shared" si="10"/>
        <v>259.76000000004751</v>
      </c>
    </row>
    <row r="697" spans="1:11" ht="12" customHeight="1" x14ac:dyDescent="0.25">
      <c r="A697" s="28">
        <v>5</v>
      </c>
      <c r="B697" s="14">
        <v>43801</v>
      </c>
      <c r="C697" s="15" t="str">
        <f>VLOOKUP(A697,Base!B:C,2,0)</f>
        <v>RESGATE APLICAÇÃO</v>
      </c>
      <c r="D697" s="15" t="str">
        <f>VLOOKUP(A697,Base!B:D,3,0)</f>
        <v>PALCOPARANÁ</v>
      </c>
      <c r="E697" s="23" t="str">
        <f>VLOOKUP($A697,Base!B:E,4,0)</f>
        <v>25.298.788/0001-95</v>
      </c>
      <c r="F697" s="24">
        <f>VLOOKUP($A697,Base!B:F,5,0)</f>
        <v>0</v>
      </c>
      <c r="G697" s="23"/>
      <c r="H697" s="17" t="s">
        <v>13</v>
      </c>
      <c r="I697" s="19">
        <v>214.59</v>
      </c>
      <c r="J697" s="20"/>
      <c r="K697" s="21">
        <f t="shared" si="10"/>
        <v>474.35000000004754</v>
      </c>
    </row>
    <row r="698" spans="1:11" ht="12" customHeight="1" x14ac:dyDescent="0.25">
      <c r="A698" s="28">
        <v>4</v>
      </c>
      <c r="B698" s="34" t="s">
        <v>432</v>
      </c>
      <c r="C698" s="15" t="str">
        <f>VLOOKUP(A698,Base!B:C,2,0)</f>
        <v>3.3.90.39.47 - SERVIÇO DE COMUNICAÇÃO EM GERAL</v>
      </c>
      <c r="D698" s="15" t="str">
        <f>VLOOKUP(A698,Base!B:D,3,0)</f>
        <v>DPTO DE IMPRENSA OFICIAL ESTADO DO PARANÁ</v>
      </c>
      <c r="E698" s="23" t="str">
        <f>VLOOKUP($A698,Base!B:E,4,0)</f>
        <v>76.437.383/0001-21</v>
      </c>
      <c r="F698" s="24" t="str">
        <f>VLOOKUP($A698,Base!B:F,5,0)</f>
        <v>NOTA FISCAL</v>
      </c>
      <c r="G698" s="23">
        <v>2019289775</v>
      </c>
      <c r="H698" s="17" t="s">
        <v>433</v>
      </c>
      <c r="I698" s="19"/>
      <c r="J698" s="20">
        <v>150</v>
      </c>
      <c r="K698" s="21">
        <f t="shared" si="10"/>
        <v>324.35000000004754</v>
      </c>
    </row>
    <row r="699" spans="1:11" ht="12" customHeight="1" x14ac:dyDescent="0.25">
      <c r="A699" s="28">
        <v>4</v>
      </c>
      <c r="B699" s="14">
        <v>43804</v>
      </c>
      <c r="C699" s="15" t="str">
        <f>VLOOKUP(A699,Base!B:C,2,0)</f>
        <v>3.3.90.39.47 - SERVIÇO DE COMUNICAÇÃO EM GERAL</v>
      </c>
      <c r="D699" s="15" t="str">
        <f>VLOOKUP(A699,Base!B:D,3,0)</f>
        <v>DPTO DE IMPRENSA OFICIAL ESTADO DO PARANÁ</v>
      </c>
      <c r="E699" s="23" t="str">
        <f>VLOOKUP($A699,Base!B:E,4,0)</f>
        <v>76.437.383/0001-21</v>
      </c>
      <c r="F699" s="24" t="str">
        <f>VLOOKUP($A699,Base!B:F,5,0)</f>
        <v>NOTA FISCAL</v>
      </c>
      <c r="G699" s="23">
        <v>2019289772</v>
      </c>
      <c r="H699" s="17" t="s">
        <v>434</v>
      </c>
      <c r="I699" s="19"/>
      <c r="J699" s="20">
        <v>180</v>
      </c>
      <c r="K699" s="21">
        <f t="shared" si="10"/>
        <v>144.35000000004754</v>
      </c>
    </row>
    <row r="700" spans="1:11" ht="12" customHeight="1" x14ac:dyDescent="0.25">
      <c r="A700" s="28">
        <v>40</v>
      </c>
      <c r="B700" s="14">
        <v>43804</v>
      </c>
      <c r="C700" s="15" t="str">
        <f>VLOOKUP(A700,Base!B:C,2,0)</f>
        <v>3.3.90.39.88 - SERVIÇOS DE PUBLICIDADE E PROPAGANDA</v>
      </c>
      <c r="D700" s="15" t="str">
        <f>VLOOKUP(A700,Base!B:D,3,0)</f>
        <v>CLASSICOS EDITORIAL LTDA</v>
      </c>
      <c r="E700" s="23" t="str">
        <f>VLOOKUP($A700,Base!B:E,4,0)</f>
        <v>00.723.345/0001-73</v>
      </c>
      <c r="F700" s="24" t="str">
        <f>VLOOKUP($A700,Base!B:F,5,0)</f>
        <v>NFS-e</v>
      </c>
      <c r="G700" s="23">
        <v>503</v>
      </c>
      <c r="H700" s="17" t="s">
        <v>376</v>
      </c>
      <c r="I700" s="19"/>
      <c r="J700" s="20">
        <v>7000</v>
      </c>
      <c r="K700" s="21">
        <f t="shared" si="10"/>
        <v>-6855.6499999999523</v>
      </c>
    </row>
    <row r="701" spans="1:11" ht="12" customHeight="1" x14ac:dyDescent="0.25">
      <c r="A701" s="28">
        <v>7</v>
      </c>
      <c r="B701" s="14">
        <v>43804</v>
      </c>
      <c r="C701" s="15" t="str">
        <f>VLOOKUP(A701,Base!B:C,2,0)</f>
        <v>3.3.90.39.05 - SERVIÇOS TÉCNICOS PROFISSIONAIS</v>
      </c>
      <c r="D701" s="15" t="str">
        <f>VLOOKUP(A701,Base!B:D,3,0)</f>
        <v>SBSC CONTADORES ASSOCIADOS LTDA</v>
      </c>
      <c r="E701" s="23" t="str">
        <f>VLOOKUP($A701,Base!B:E,4,0)</f>
        <v>05.377.113/0001-24</v>
      </c>
      <c r="F701" s="24" t="str">
        <f>VLOOKUP($A701,Base!B:F,5,0)</f>
        <v>NFS-e</v>
      </c>
      <c r="G701" s="23">
        <v>823</v>
      </c>
      <c r="H701" s="17" t="s">
        <v>435</v>
      </c>
      <c r="I701" s="19"/>
      <c r="J701" s="20">
        <v>2166.66</v>
      </c>
      <c r="K701" s="21">
        <f t="shared" si="10"/>
        <v>-9022.3099999999522</v>
      </c>
    </row>
    <row r="702" spans="1:11" ht="12" customHeight="1" x14ac:dyDescent="0.25">
      <c r="A702" s="28">
        <v>9</v>
      </c>
      <c r="B702" s="14">
        <v>43804</v>
      </c>
      <c r="C702" s="15" t="str">
        <f>VLOOKUP(A702,Base!B:C,2,0)</f>
        <v>3.3.90.39.12 - LOCAÇÃO DE MÁQUINAS E EQUIPAMENTOS</v>
      </c>
      <c r="D702" s="15" t="str">
        <f>VLOOKUP(A702,Base!B:D,3,0)</f>
        <v>INTERATIVA SOLUÇÕES EM INFORMATICA LTDA</v>
      </c>
      <c r="E702" s="23" t="str">
        <f>VLOOKUP($A702,Base!B:E,4,0)</f>
        <v>04.192.385/0001-97</v>
      </c>
      <c r="F702" s="24" t="str">
        <f>VLOOKUP($A702,Base!B:F,5,0)</f>
        <v>NFS-e</v>
      </c>
      <c r="G702" s="23">
        <v>7218</v>
      </c>
      <c r="H702" s="17" t="s">
        <v>21</v>
      </c>
      <c r="I702" s="19"/>
      <c r="J702" s="20">
        <v>1347.6</v>
      </c>
      <c r="K702" s="21">
        <f t="shared" si="10"/>
        <v>-10369.909999999953</v>
      </c>
    </row>
    <row r="703" spans="1:11" ht="12" customHeight="1" x14ac:dyDescent="0.25">
      <c r="A703" s="28">
        <v>16</v>
      </c>
      <c r="B703" s="14">
        <v>43804</v>
      </c>
      <c r="C703" s="15" t="str">
        <f>VLOOKUP(A703,Base!B:C,2,0)</f>
        <v>3.1.90.13.01- CONTRIBUIÇÕES PREVIDENCIÁRIAS - INSS</v>
      </c>
      <c r="D703" s="15" t="str">
        <f>VLOOKUP(A703,Base!B:D,3,0)</f>
        <v>FUNDO DO REGIME GERAL DE PREVIDENCIA SOCIAL</v>
      </c>
      <c r="E703" s="23" t="str">
        <f>VLOOKUP($A703,Base!B:E,4,0)</f>
        <v>16.727.230/0001-97</v>
      </c>
      <c r="F703" s="24" t="str">
        <f>VLOOKUP($A703,Base!B:F,5,0)</f>
        <v>GPS</v>
      </c>
      <c r="G703" s="23"/>
      <c r="H703" s="17" t="s">
        <v>436</v>
      </c>
      <c r="I703" s="19"/>
      <c r="J703" s="20">
        <v>100343.96</v>
      </c>
      <c r="K703" s="21">
        <f t="shared" si="10"/>
        <v>-110713.86999999997</v>
      </c>
    </row>
    <row r="704" spans="1:11" ht="12" customHeight="1" x14ac:dyDescent="0.25">
      <c r="A704" s="28">
        <v>15</v>
      </c>
      <c r="B704" s="14">
        <v>43804</v>
      </c>
      <c r="C704" s="15" t="str">
        <f>VLOOKUP(A704,Base!B:C,2,0)</f>
        <v>3.1.90.11.61 - VENCIMENTOS E SALÁRIOS</v>
      </c>
      <c r="D704" s="15" t="str">
        <f>VLOOKUP(A704,Base!B:D,3,0)</f>
        <v>MINISTÉRIO DA FAZENDA - UNIÃO</v>
      </c>
      <c r="E704" s="23">
        <f>VLOOKUP($A704,Base!B:E,4,0)</f>
        <v>0</v>
      </c>
      <c r="F704" s="24" t="str">
        <f>VLOOKUP($A704,Base!B:F,5,0)</f>
        <v>DARF IRRF</v>
      </c>
      <c r="G704" s="23"/>
      <c r="H704" s="17" t="s">
        <v>437</v>
      </c>
      <c r="I704" s="19"/>
      <c r="J704" s="20">
        <v>19830.009999999998</v>
      </c>
      <c r="K704" s="21">
        <f t="shared" si="10"/>
        <v>-130543.87999999996</v>
      </c>
    </row>
    <row r="705" spans="1:11" ht="12" customHeight="1" x14ac:dyDescent="0.25">
      <c r="A705" s="28">
        <v>20</v>
      </c>
      <c r="B705" s="14">
        <v>43804</v>
      </c>
      <c r="C705" s="15" t="str">
        <f>VLOOKUP(A705,Base!B:C,2,0)</f>
        <v>3.1.90.47.01 - PIS/PASEP</v>
      </c>
      <c r="D705" s="15" t="str">
        <f>VLOOKUP(A705,Base!B:D,3,0)</f>
        <v>MINISTÉRIO DA FAZENDA - UNIÃO</v>
      </c>
      <c r="E705" s="23" t="str">
        <f>VLOOKUP($A705,Base!B:E,4,0)</f>
        <v>25.298.788/0001-95 -8301</v>
      </c>
      <c r="F705" s="24" t="str">
        <f>VLOOKUP($A705,Base!B:F,5,0)</f>
        <v>DARF PIS</v>
      </c>
      <c r="G705" s="23"/>
      <c r="H705" s="17" t="s">
        <v>438</v>
      </c>
      <c r="I705" s="19"/>
      <c r="J705" s="20">
        <v>3975.66</v>
      </c>
      <c r="K705" s="21">
        <f t="shared" si="10"/>
        <v>-134519.53999999995</v>
      </c>
    </row>
    <row r="706" spans="1:11" ht="12" customHeight="1" x14ac:dyDescent="0.25">
      <c r="A706" s="28">
        <v>10</v>
      </c>
      <c r="B706" s="14">
        <v>43804</v>
      </c>
      <c r="C706" s="15" t="str">
        <f>VLOOKUP(A706,Base!B:C,2,0)</f>
        <v>3.1.90.13.02 - FGTS</v>
      </c>
      <c r="D706" s="15" t="str">
        <f>VLOOKUP(A706,Base!B:D,3,0)</f>
        <v>CAIXA ECONÔMICA FEDERAL</v>
      </c>
      <c r="E706" s="23">
        <f>VLOOKUP($A706,Base!B:E,4,0)</f>
        <v>0</v>
      </c>
      <c r="F706" s="24" t="str">
        <f>VLOOKUP($A706,Base!B:F,5,0)</f>
        <v>GUIA GRRF</v>
      </c>
      <c r="G706" s="23"/>
      <c r="H706" s="17" t="s">
        <v>439</v>
      </c>
      <c r="I706" s="19"/>
      <c r="J706" s="20">
        <v>32002.32</v>
      </c>
      <c r="K706" s="21">
        <f t="shared" si="10"/>
        <v>-166521.85999999996</v>
      </c>
    </row>
    <row r="707" spans="1:11" ht="12" customHeight="1" x14ac:dyDescent="0.25">
      <c r="A707" s="28">
        <v>5</v>
      </c>
      <c r="B707" s="14">
        <v>43804</v>
      </c>
      <c r="C707" s="15" t="str">
        <f>VLOOKUP(A707,Base!B:C,2,0)</f>
        <v>RESGATE APLICAÇÃO</v>
      </c>
      <c r="D707" s="15" t="str">
        <f>VLOOKUP(A707,Base!B:D,3,0)</f>
        <v>PALCOPARANÁ</v>
      </c>
      <c r="E707" s="23" t="str">
        <f>VLOOKUP($A707,Base!B:E,4,0)</f>
        <v>25.298.788/0001-95</v>
      </c>
      <c r="F707" s="24">
        <f>VLOOKUP($A707,Base!B:F,5,0)</f>
        <v>0</v>
      </c>
      <c r="G707" s="23"/>
      <c r="H707" s="17" t="s">
        <v>13</v>
      </c>
      <c r="I707" s="19">
        <v>167000</v>
      </c>
      <c r="J707" s="20"/>
      <c r="K707" s="21">
        <f t="shared" ref="K707:K770" si="11">K706+I707-J707</f>
        <v>478.14000000004307</v>
      </c>
    </row>
    <row r="708" spans="1:11" ht="12" customHeight="1" x14ac:dyDescent="0.25">
      <c r="A708" s="28">
        <v>19</v>
      </c>
      <c r="B708" s="14">
        <v>43805</v>
      </c>
      <c r="C708" s="15" t="str">
        <f>VLOOKUP(A708,Base!B:C,2,0)</f>
        <v>CRÉDITO</v>
      </c>
      <c r="D708" s="15" t="str">
        <f>VLOOKUP(A708,Base!B:D,3,0)</f>
        <v>PALCOPARANÁ</v>
      </c>
      <c r="E708" s="23" t="str">
        <f>VLOOKUP($A708,Base!B:E,4,0)</f>
        <v>25.298.788/0001-95</v>
      </c>
      <c r="F708" s="24">
        <f>VLOOKUP($A708,Base!B:F,5,0)</f>
        <v>0</v>
      </c>
      <c r="G708" s="23"/>
      <c r="H708" s="17" t="s">
        <v>440</v>
      </c>
      <c r="I708" s="19">
        <v>68.45</v>
      </c>
      <c r="J708" s="20"/>
      <c r="K708" s="21">
        <f t="shared" si="11"/>
        <v>546.59000000004312</v>
      </c>
    </row>
    <row r="709" spans="1:11" ht="12" customHeight="1" x14ac:dyDescent="0.25">
      <c r="A709" s="28">
        <v>5</v>
      </c>
      <c r="B709" s="14">
        <v>43805</v>
      </c>
      <c r="C709" s="15" t="str">
        <f>VLOOKUP(A709,Base!B:C,2,0)</f>
        <v>RESGATE APLICAÇÃO</v>
      </c>
      <c r="D709" s="15" t="str">
        <f>VLOOKUP(A709,Base!B:D,3,0)</f>
        <v>PALCOPARANÁ</v>
      </c>
      <c r="E709" s="23" t="str">
        <f>VLOOKUP($A709,Base!B:E,4,0)</f>
        <v>25.298.788/0001-95</v>
      </c>
      <c r="F709" s="24">
        <f>VLOOKUP($A709,Base!B:F,5,0)</f>
        <v>0</v>
      </c>
      <c r="G709" s="23"/>
      <c r="H709" s="17" t="s">
        <v>13</v>
      </c>
      <c r="I709" s="19">
        <v>201.81</v>
      </c>
      <c r="J709" s="20"/>
      <c r="K709" s="21">
        <f t="shared" si="11"/>
        <v>748.40000000004306</v>
      </c>
    </row>
    <row r="710" spans="1:11" ht="12" customHeight="1" x14ac:dyDescent="0.25">
      <c r="A710" s="28">
        <v>5</v>
      </c>
      <c r="B710" s="14">
        <v>43805</v>
      </c>
      <c r="C710" s="15" t="str">
        <f>VLOOKUP(A710,Base!B:C,2,0)</f>
        <v>RESGATE APLICAÇÃO</v>
      </c>
      <c r="D710" s="15" t="str">
        <f>VLOOKUP(A710,Base!B:D,3,0)</f>
        <v>PALCOPARANÁ</v>
      </c>
      <c r="E710" s="23" t="str">
        <f>VLOOKUP($A710,Base!B:E,4,0)</f>
        <v>25.298.788/0001-95</v>
      </c>
      <c r="F710" s="24">
        <f>VLOOKUP($A710,Base!B:F,5,0)</f>
        <v>0</v>
      </c>
      <c r="G710" s="23"/>
      <c r="H710" s="17" t="s">
        <v>13</v>
      </c>
      <c r="I710" s="19">
        <v>1123.67</v>
      </c>
      <c r="J710" s="20"/>
      <c r="K710" s="21">
        <f t="shared" si="11"/>
        <v>1872.0700000000431</v>
      </c>
    </row>
    <row r="711" spans="1:11" ht="12" customHeight="1" x14ac:dyDescent="0.25">
      <c r="A711" s="28">
        <v>44</v>
      </c>
      <c r="B711" s="14">
        <v>43805</v>
      </c>
      <c r="C711" s="15" t="str">
        <f>VLOOKUP(A711,Base!B:C,2,0)</f>
        <v>3.1.90.47.15 - COFINS</v>
      </c>
      <c r="D711" s="15" t="str">
        <f>VLOOKUP(A711,Base!B:D,3,0)</f>
        <v>MINISTÉRIO DA FAZENDA - UNIÃO</v>
      </c>
      <c r="E711" s="23">
        <f>VLOOKUP($A711,Base!B:E,4,0)</f>
        <v>0</v>
      </c>
      <c r="F711" s="24" t="str">
        <f>VLOOKUP($A711,Base!B:F,5,0)</f>
        <v>DARF</v>
      </c>
      <c r="G711" s="23"/>
      <c r="H711" s="17" t="s">
        <v>441</v>
      </c>
      <c r="I711" s="19"/>
      <c r="J711" s="20">
        <v>330.11</v>
      </c>
      <c r="K711" s="21">
        <f t="shared" si="11"/>
        <v>1541.9600000000432</v>
      </c>
    </row>
    <row r="712" spans="1:11" ht="12" customHeight="1" x14ac:dyDescent="0.25">
      <c r="A712" s="28">
        <v>44</v>
      </c>
      <c r="B712" s="14">
        <v>43805</v>
      </c>
      <c r="C712" s="15" t="str">
        <f>VLOOKUP(A712,Base!B:C,2,0)</f>
        <v>3.1.90.47.15 - COFINS</v>
      </c>
      <c r="D712" s="15" t="str">
        <f>VLOOKUP(A712,Base!B:D,3,0)</f>
        <v>MINISTÉRIO DA FAZENDA - UNIÃO</v>
      </c>
      <c r="E712" s="23">
        <f>VLOOKUP($A712,Base!B:E,4,0)</f>
        <v>0</v>
      </c>
      <c r="F712" s="24" t="str">
        <f>VLOOKUP($A712,Base!B:F,5,0)</f>
        <v>DARF</v>
      </c>
      <c r="G712" s="23"/>
      <c r="H712" s="17" t="s">
        <v>442</v>
      </c>
      <c r="I712" s="19"/>
      <c r="J712" s="20">
        <v>486.14</v>
      </c>
      <c r="K712" s="21">
        <f t="shared" si="11"/>
        <v>1055.8200000000434</v>
      </c>
    </row>
    <row r="713" spans="1:11" ht="12" customHeight="1" x14ac:dyDescent="0.25">
      <c r="A713" s="28">
        <v>20</v>
      </c>
      <c r="B713" s="14">
        <v>43805</v>
      </c>
      <c r="C713" s="15" t="str">
        <f>VLOOKUP(A713,Base!B:C,2,0)</f>
        <v>3.1.90.47.01 - PIS/PASEP</v>
      </c>
      <c r="D713" s="15" t="str">
        <f>VLOOKUP(A713,Base!B:D,3,0)</f>
        <v>MINISTÉRIO DA FAZENDA - UNIÃO</v>
      </c>
      <c r="E713" s="23" t="str">
        <f>VLOOKUP($A713,Base!B:E,4,0)</f>
        <v>25.298.788/0001-95 -8301</v>
      </c>
      <c r="F713" s="24" t="str">
        <f>VLOOKUP($A713,Base!B:F,5,0)</f>
        <v>DARF PIS</v>
      </c>
      <c r="G713" s="23"/>
      <c r="H713" s="17" t="s">
        <v>443</v>
      </c>
      <c r="I713" s="19"/>
      <c r="J713" s="20">
        <v>105.54</v>
      </c>
      <c r="K713" s="21">
        <f t="shared" si="11"/>
        <v>950.2800000000434</v>
      </c>
    </row>
    <row r="714" spans="1:11" ht="12" customHeight="1" x14ac:dyDescent="0.25">
      <c r="A714" s="28">
        <v>20</v>
      </c>
      <c r="B714" s="14">
        <v>43805</v>
      </c>
      <c r="C714" s="15" t="str">
        <f>VLOOKUP(A714,Base!B:C,2,0)</f>
        <v>3.1.90.47.01 - PIS/PASEP</v>
      </c>
      <c r="D714" s="15" t="str">
        <f>VLOOKUP(A714,Base!B:D,3,0)</f>
        <v>MINISTÉRIO DA FAZENDA - UNIÃO</v>
      </c>
      <c r="E714" s="23" t="str">
        <f>VLOOKUP($A714,Base!B:E,4,0)</f>
        <v>25.298.788/0001-95 -8301</v>
      </c>
      <c r="F714" s="24" t="str">
        <f>VLOOKUP($A714,Base!B:F,5,0)</f>
        <v>DARF PIS</v>
      </c>
      <c r="G714" s="23"/>
      <c r="H714" s="17" t="s">
        <v>444</v>
      </c>
      <c r="I714" s="19"/>
      <c r="J714" s="20">
        <v>71.66</v>
      </c>
      <c r="K714" s="21">
        <f t="shared" si="11"/>
        <v>878.62000000004343</v>
      </c>
    </row>
    <row r="715" spans="1:11" ht="12" customHeight="1" x14ac:dyDescent="0.25">
      <c r="A715" s="28">
        <v>6</v>
      </c>
      <c r="B715" s="14">
        <v>43805</v>
      </c>
      <c r="C715" s="15" t="str">
        <f>VLOOKUP(A715,Base!B:C,2,0)</f>
        <v>3.1.90.11.61 - VENCIMENTOS E SALÁRIOS</v>
      </c>
      <c r="D715" s="15" t="s">
        <v>445</v>
      </c>
      <c r="E715" s="23">
        <v>394460000141</v>
      </c>
      <c r="F715" s="24" t="s">
        <v>446</v>
      </c>
      <c r="G715" s="23"/>
      <c r="H715" s="17" t="s">
        <v>447</v>
      </c>
      <c r="I715" s="19"/>
      <c r="J715" s="20">
        <v>1000</v>
      </c>
      <c r="K715" s="21">
        <f t="shared" si="11"/>
        <v>-121.37999999995657</v>
      </c>
    </row>
    <row r="716" spans="1:11" ht="12" customHeight="1" x14ac:dyDescent="0.25">
      <c r="A716" s="28">
        <v>18</v>
      </c>
      <c r="B716" s="14">
        <v>43805</v>
      </c>
      <c r="C716" s="15" t="str">
        <f>VLOOKUP(A716,Base!B:C,2,0)</f>
        <v>3.3.90.47.20 - ISS - IMPOSTO S/E SERV. DE QUALQUER NATUREZA A RECOLHER</v>
      </c>
      <c r="D716" s="15" t="str">
        <f>VLOOKUP(A716,Base!B:D,3,0)</f>
        <v>MUNICIPIO DE CURITIBA</v>
      </c>
      <c r="E716" s="23">
        <f>VLOOKUP($A716,Base!B:E,4,0)</f>
        <v>0</v>
      </c>
      <c r="F716" s="24" t="str">
        <f>VLOOKUP($A716,Base!B:F,5,0)</f>
        <v>DAM</v>
      </c>
      <c r="G716" s="23"/>
      <c r="H716" s="17" t="s">
        <v>448</v>
      </c>
      <c r="I716" s="19"/>
      <c r="J716" s="20">
        <v>500</v>
      </c>
      <c r="K716" s="21">
        <f t="shared" si="11"/>
        <v>-621.37999999995657</v>
      </c>
    </row>
    <row r="717" spans="1:11" ht="12" customHeight="1" x14ac:dyDescent="0.25">
      <c r="A717" s="28">
        <v>5</v>
      </c>
      <c r="B717" s="14">
        <v>43805</v>
      </c>
      <c r="C717" s="15" t="str">
        <f>VLOOKUP(A717,Base!B:C,2,0)</f>
        <v>RESGATE APLICAÇÃO</v>
      </c>
      <c r="D717" s="15" t="str">
        <f>VLOOKUP(A717,Base!B:D,3,0)</f>
        <v>PALCOPARANÁ</v>
      </c>
      <c r="E717" s="23" t="str">
        <f>VLOOKUP($A717,Base!B:E,4,0)</f>
        <v>25.298.788/0001-95</v>
      </c>
      <c r="F717" s="24">
        <f>VLOOKUP($A717,Base!B:F,5,0)</f>
        <v>0</v>
      </c>
      <c r="G717" s="23"/>
      <c r="H717" s="17" t="s">
        <v>13</v>
      </c>
      <c r="I717" s="19">
        <v>1000</v>
      </c>
      <c r="J717" s="20"/>
      <c r="K717" s="21">
        <f t="shared" si="11"/>
        <v>378.62000000004343</v>
      </c>
    </row>
    <row r="718" spans="1:11" ht="12" customHeight="1" x14ac:dyDescent="0.25">
      <c r="A718" s="28">
        <v>5</v>
      </c>
      <c r="B718" s="14">
        <v>43808</v>
      </c>
      <c r="C718" s="15" t="str">
        <f>VLOOKUP(A718,Base!B:C,2,0)</f>
        <v>RESGATE APLICAÇÃO</v>
      </c>
      <c r="D718" s="15" t="str">
        <f>VLOOKUP(A718,Base!B:D,3,0)</f>
        <v>PALCOPARANÁ</v>
      </c>
      <c r="E718" s="23" t="str">
        <f>VLOOKUP($A718,Base!B:E,4,0)</f>
        <v>25.298.788/0001-95</v>
      </c>
      <c r="F718" s="24">
        <f>VLOOKUP($A718,Base!B:F,5,0)</f>
        <v>0</v>
      </c>
      <c r="G718" s="23"/>
      <c r="H718" s="17" t="s">
        <v>13</v>
      </c>
      <c r="I718" s="19">
        <v>7.36</v>
      </c>
      <c r="J718" s="20"/>
      <c r="K718" s="21">
        <f t="shared" si="11"/>
        <v>385.98000000004345</v>
      </c>
    </row>
    <row r="719" spans="1:11" ht="12" customHeight="1" x14ac:dyDescent="0.25">
      <c r="A719" s="28">
        <v>4</v>
      </c>
      <c r="B719" s="14">
        <v>43810</v>
      </c>
      <c r="C719" s="15" t="str">
        <f>VLOOKUP(A719,Base!B:C,2,0)</f>
        <v>3.3.90.39.47 - SERVIÇO DE COMUNICAÇÃO EM GERAL</v>
      </c>
      <c r="D719" s="15" t="str">
        <f>VLOOKUP(A719,Base!B:D,3,0)</f>
        <v>DPTO DE IMPRENSA OFICIAL ESTADO DO PARANÁ</v>
      </c>
      <c r="E719" s="23" t="str">
        <f>VLOOKUP($A719,Base!B:E,4,0)</f>
        <v>76.437.383/0001-21</v>
      </c>
      <c r="F719" s="24" t="str">
        <f>VLOOKUP($A719,Base!B:F,5,0)</f>
        <v>NOTA FISCAL</v>
      </c>
      <c r="G719" s="23">
        <v>2019290486</v>
      </c>
      <c r="H719" s="17" t="s">
        <v>449</v>
      </c>
      <c r="I719" s="19"/>
      <c r="J719" s="20">
        <v>150</v>
      </c>
      <c r="K719" s="21">
        <f t="shared" si="11"/>
        <v>235.98000000004345</v>
      </c>
    </row>
    <row r="720" spans="1:11" ht="12" customHeight="1" x14ac:dyDescent="0.25">
      <c r="A720" s="28">
        <v>42</v>
      </c>
      <c r="B720" s="14">
        <v>43811</v>
      </c>
      <c r="C720" s="15" t="str">
        <f>VLOOKUP(A720,Base!B:C,2,0)</f>
        <v xml:space="preserve">3.3.90.39.00 – OUTROES SERVIÇOS DE TERCEIROS </v>
      </c>
      <c r="D720" s="15" t="str">
        <f>VLOOKUP(A720,Base!B:D,3,0)</f>
        <v>Contratação por Edital de Chamamento nº 01/2024</v>
      </c>
      <c r="E720" s="23">
        <f>VLOOKUP($A720,Base!B:E,4,0)</f>
        <v>0</v>
      </c>
      <c r="F720" s="24" t="str">
        <f>VLOOKUP($A720,Base!B:F,5,0)</f>
        <v>NFS-e/RPA</v>
      </c>
      <c r="G720" s="23"/>
      <c r="H720" s="17" t="s">
        <v>450</v>
      </c>
      <c r="I720" s="19"/>
      <c r="J720" s="20">
        <v>79802.559999999998</v>
      </c>
      <c r="K720" s="21">
        <f t="shared" si="11"/>
        <v>-79566.579999999958</v>
      </c>
    </row>
    <row r="721" spans="1:11" ht="12" customHeight="1" x14ac:dyDescent="0.25">
      <c r="A721" s="28">
        <v>5</v>
      </c>
      <c r="B721" s="14">
        <v>43811</v>
      </c>
      <c r="C721" s="15" t="str">
        <f>VLOOKUP(A721,Base!B:C,2,0)</f>
        <v>RESGATE APLICAÇÃO</v>
      </c>
      <c r="D721" s="15" t="str">
        <f>VLOOKUP(A721,Base!B:D,3,0)</f>
        <v>PALCOPARANÁ</v>
      </c>
      <c r="E721" s="23" t="str">
        <f>VLOOKUP($A721,Base!B:E,4,0)</f>
        <v>25.298.788/0001-95</v>
      </c>
      <c r="F721" s="24">
        <f>VLOOKUP($A721,Base!B:F,5,0)</f>
        <v>0</v>
      </c>
      <c r="G721" s="23"/>
      <c r="H721" s="17" t="s">
        <v>13</v>
      </c>
      <c r="I721" s="19">
        <v>80000</v>
      </c>
      <c r="J721" s="20"/>
      <c r="K721" s="21">
        <f t="shared" si="11"/>
        <v>433.42000000004191</v>
      </c>
    </row>
    <row r="722" spans="1:11" ht="12" customHeight="1" x14ac:dyDescent="0.25">
      <c r="A722" s="28">
        <v>5</v>
      </c>
      <c r="B722" s="14">
        <v>43812</v>
      </c>
      <c r="C722" s="15" t="str">
        <f>VLOOKUP(A722,Base!B:C,2,0)</f>
        <v>RESGATE APLICAÇÃO</v>
      </c>
      <c r="D722" s="15" t="str">
        <f>VLOOKUP(A722,Base!B:D,3,0)</f>
        <v>PALCOPARANÁ</v>
      </c>
      <c r="E722" s="23" t="str">
        <f>VLOOKUP($A722,Base!B:E,4,0)</f>
        <v>25.298.788/0001-95</v>
      </c>
      <c r="F722" s="24">
        <f>VLOOKUP($A722,Base!B:F,5,0)</f>
        <v>0</v>
      </c>
      <c r="G722" s="23"/>
      <c r="H722" s="17" t="s">
        <v>13</v>
      </c>
      <c r="I722" s="19">
        <v>649.6</v>
      </c>
      <c r="J722" s="20"/>
      <c r="K722" s="21">
        <f t="shared" si="11"/>
        <v>1083.0200000000418</v>
      </c>
    </row>
    <row r="723" spans="1:11" ht="12" customHeight="1" x14ac:dyDescent="0.25">
      <c r="A723" s="28">
        <v>32</v>
      </c>
      <c r="B723" s="14">
        <v>43812</v>
      </c>
      <c r="C723" s="15" t="str">
        <f>VLOOKUP(A723,Base!B:C,2,0)</f>
        <v>3.3.90.39.48 - SERVIÇO DE SELEÇÃO E TREINAMENTO</v>
      </c>
      <c r="D723" s="25" t="s">
        <v>451</v>
      </c>
      <c r="E723" s="26" t="s">
        <v>452</v>
      </c>
      <c r="F723" s="24" t="str">
        <f>VLOOKUP($A723,Base!B:F,5,0)</f>
        <v>NFS-e</v>
      </c>
      <c r="G723" s="35">
        <v>201900000006252</v>
      </c>
      <c r="H723" s="27" t="s">
        <v>453</v>
      </c>
      <c r="I723" s="19"/>
      <c r="J723" s="20">
        <v>4725.6000000000004</v>
      </c>
      <c r="K723" s="21">
        <f t="shared" si="11"/>
        <v>-3642.5799999999585</v>
      </c>
    </row>
    <row r="724" spans="1:11" ht="12" customHeight="1" x14ac:dyDescent="0.25">
      <c r="A724" s="28">
        <v>5</v>
      </c>
      <c r="B724" s="14">
        <v>43812</v>
      </c>
      <c r="C724" s="15" t="str">
        <f>VLOOKUP(A724,Base!B:C,2,0)</f>
        <v>RESGATE APLICAÇÃO</v>
      </c>
      <c r="D724" s="15" t="str">
        <f>VLOOKUP(A724,Base!B:D,3,0)</f>
        <v>PALCOPARANÁ</v>
      </c>
      <c r="E724" s="23" t="str">
        <f>VLOOKUP($A724,Base!B:E,4,0)</f>
        <v>25.298.788/0001-95</v>
      </c>
      <c r="F724" s="24">
        <f>VLOOKUP($A724,Base!B:F,5,0)</f>
        <v>0</v>
      </c>
      <c r="G724" s="23"/>
      <c r="H724" s="17" t="s">
        <v>13</v>
      </c>
      <c r="I724" s="19">
        <v>4000</v>
      </c>
      <c r="J724" s="20"/>
      <c r="K724" s="21">
        <f t="shared" si="11"/>
        <v>357.42000000004145</v>
      </c>
    </row>
    <row r="725" spans="1:11" ht="12" customHeight="1" x14ac:dyDescent="0.25">
      <c r="A725" s="28">
        <v>5</v>
      </c>
      <c r="B725" s="14">
        <v>43812</v>
      </c>
      <c r="C725" s="15" t="str">
        <f>VLOOKUP(A725,Base!B:C,2,0)</f>
        <v>RESGATE APLICAÇÃO</v>
      </c>
      <c r="D725" s="15" t="str">
        <f>VLOOKUP(A725,Base!B:D,3,0)</f>
        <v>PALCOPARANÁ</v>
      </c>
      <c r="E725" s="23" t="str">
        <f>VLOOKUP($A725,Base!B:E,4,0)</f>
        <v>25.298.788/0001-95</v>
      </c>
      <c r="F725" s="24">
        <f>VLOOKUP($A725,Base!B:F,5,0)</f>
        <v>0</v>
      </c>
      <c r="G725" s="23"/>
      <c r="H725" s="17" t="s">
        <v>13</v>
      </c>
      <c r="I725" s="19">
        <v>33.119999999999997</v>
      </c>
      <c r="J725" s="20"/>
      <c r="K725" s="21">
        <f t="shared" si="11"/>
        <v>390.54000000004146</v>
      </c>
    </row>
    <row r="726" spans="1:11" ht="12" customHeight="1" x14ac:dyDescent="0.25">
      <c r="A726" s="28">
        <v>43</v>
      </c>
      <c r="B726" s="14">
        <v>43815</v>
      </c>
      <c r="C726" s="15" t="str">
        <f>VLOOKUP(A726,Base!B:C,2,0)</f>
        <v>3.1.90.11.65 - DÉCIMO TERCEIRO SALÁRIO - RGPS</v>
      </c>
      <c r="D726" s="15" t="s">
        <v>62</v>
      </c>
      <c r="E726" s="23" t="s">
        <v>120</v>
      </c>
      <c r="F726" s="24" t="str">
        <f>VLOOKUP($A726,Base!B:F,5,0)</f>
        <v>RECIBO</v>
      </c>
      <c r="G726" s="23"/>
      <c r="H726" s="17" t="s">
        <v>450</v>
      </c>
      <c r="I726" s="19"/>
      <c r="J726" s="20">
        <v>3679.67</v>
      </c>
      <c r="K726" s="21">
        <f t="shared" si="11"/>
        <v>-3289.1299999999587</v>
      </c>
    </row>
    <row r="727" spans="1:11" ht="12" customHeight="1" x14ac:dyDescent="0.25">
      <c r="A727" s="28">
        <v>14</v>
      </c>
      <c r="B727" s="14">
        <v>43815</v>
      </c>
      <c r="C727" s="15" t="str">
        <f>VLOOKUP(A727,Base!B:C,2,0)</f>
        <v>3.3.90.39.39 - ENCARGOS FINANCEIROS INDEDUTÍVEIS</v>
      </c>
      <c r="D727" s="15" t="str">
        <f>VLOOKUP(A727,Base!B:D,3,0)</f>
        <v>BANCO DO BRASIL</v>
      </c>
      <c r="E727" s="23">
        <f>VLOOKUP($A727,Base!B:E,4,0)</f>
        <v>191</v>
      </c>
      <c r="F727" s="24" t="str">
        <f>VLOOKUP($A727,Base!B:F,5,0)</f>
        <v>AVISO DE DÉBITO</v>
      </c>
      <c r="G727" s="23"/>
      <c r="H727" s="17" t="str">
        <f>VLOOKUP($A727,Base!B:H,7,0)</f>
        <v>TARIFA BANCÁRIA</v>
      </c>
      <c r="I727" s="19"/>
      <c r="J727" s="20">
        <v>10.45</v>
      </c>
      <c r="K727" s="21">
        <f t="shared" si="11"/>
        <v>-3299.5799999999585</v>
      </c>
    </row>
    <row r="728" spans="1:11" ht="12" customHeight="1" x14ac:dyDescent="0.25">
      <c r="A728" s="28">
        <v>5</v>
      </c>
      <c r="B728" s="14">
        <v>43815</v>
      </c>
      <c r="C728" s="15" t="str">
        <f>VLOOKUP(A728,Base!B:C,2,0)</f>
        <v>RESGATE APLICAÇÃO</v>
      </c>
      <c r="D728" s="15" t="str">
        <f>VLOOKUP(A728,Base!B:D,3,0)</f>
        <v>PALCOPARANÁ</v>
      </c>
      <c r="E728" s="23" t="str">
        <f>VLOOKUP($A728,Base!B:E,4,0)</f>
        <v>25.298.788/0001-95</v>
      </c>
      <c r="F728" s="24">
        <f>VLOOKUP($A728,Base!B:F,5,0)</f>
        <v>0</v>
      </c>
      <c r="G728" s="23"/>
      <c r="H728" s="17" t="s">
        <v>13</v>
      </c>
      <c r="I728" s="19">
        <v>3500</v>
      </c>
      <c r="J728" s="20"/>
      <c r="K728" s="21">
        <f t="shared" si="11"/>
        <v>200.42000000004145</v>
      </c>
    </row>
    <row r="729" spans="1:11" ht="12" customHeight="1" x14ac:dyDescent="0.25">
      <c r="A729" s="28">
        <v>5</v>
      </c>
      <c r="B729" s="14">
        <v>43815</v>
      </c>
      <c r="C729" s="15" t="str">
        <f>VLOOKUP(A729,Base!B:C,2,0)</f>
        <v>RESGATE APLICAÇÃO</v>
      </c>
      <c r="D729" s="15" t="str">
        <f>VLOOKUP(A729,Base!B:D,3,0)</f>
        <v>PALCOPARANÁ</v>
      </c>
      <c r="E729" s="23" t="str">
        <f>VLOOKUP($A729,Base!B:E,4,0)</f>
        <v>25.298.788/0001-95</v>
      </c>
      <c r="F729" s="24">
        <f>VLOOKUP($A729,Base!B:F,5,0)</f>
        <v>0</v>
      </c>
      <c r="G729" s="23"/>
      <c r="H729" s="17" t="s">
        <v>13</v>
      </c>
      <c r="I729" s="19">
        <v>29.61</v>
      </c>
      <c r="J729" s="20"/>
      <c r="K729" s="21">
        <f t="shared" si="11"/>
        <v>230.03000000004147</v>
      </c>
    </row>
    <row r="730" spans="1:11" ht="12" customHeight="1" x14ac:dyDescent="0.25">
      <c r="A730" s="28">
        <v>16</v>
      </c>
      <c r="B730" s="14">
        <v>43817</v>
      </c>
      <c r="C730" s="15" t="str">
        <f>VLOOKUP(A730,Base!B:C,2,0)</f>
        <v>3.1.90.13.01- CONTRIBUIÇÕES PREVIDENCIÁRIAS - INSS</v>
      </c>
      <c r="D730" s="15" t="str">
        <f>VLOOKUP(A730,Base!B:D,3,0)</f>
        <v>FUNDO DO REGIME GERAL DE PREVIDENCIA SOCIAL</v>
      </c>
      <c r="E730" s="23" t="str">
        <f>VLOOKUP($A730,Base!B:E,4,0)</f>
        <v>16.727.230/0001-97</v>
      </c>
      <c r="F730" s="24" t="str">
        <f>VLOOKUP($A730,Base!B:F,5,0)</f>
        <v>GPS</v>
      </c>
      <c r="G730" s="23"/>
      <c r="H730" s="17" t="s">
        <v>454</v>
      </c>
      <c r="I730" s="19"/>
      <c r="J730" s="20">
        <v>92835.58</v>
      </c>
      <c r="K730" s="21">
        <f t="shared" si="11"/>
        <v>-92605.549999999959</v>
      </c>
    </row>
    <row r="731" spans="1:11" ht="12" customHeight="1" x14ac:dyDescent="0.25">
      <c r="A731" s="28">
        <v>5</v>
      </c>
      <c r="B731" s="14">
        <v>43817</v>
      </c>
      <c r="C731" s="15" t="str">
        <f>VLOOKUP(A731,Base!B:C,2,0)</f>
        <v>RESGATE APLICAÇÃO</v>
      </c>
      <c r="D731" s="15" t="str">
        <f>VLOOKUP(A731,Base!B:D,3,0)</f>
        <v>PALCOPARANÁ</v>
      </c>
      <c r="E731" s="23" t="str">
        <f>VLOOKUP($A731,Base!B:E,4,0)</f>
        <v>25.298.788/0001-95</v>
      </c>
      <c r="F731" s="24">
        <f>VLOOKUP($A731,Base!B:F,5,0)</f>
        <v>0</v>
      </c>
      <c r="G731" s="23"/>
      <c r="H731" s="17" t="s">
        <v>13</v>
      </c>
      <c r="I731" s="19">
        <v>93000</v>
      </c>
      <c r="J731" s="20"/>
      <c r="K731" s="21">
        <f t="shared" si="11"/>
        <v>394.45000000004075</v>
      </c>
    </row>
    <row r="732" spans="1:11" ht="12" customHeight="1" x14ac:dyDescent="0.25">
      <c r="A732" s="28">
        <v>5</v>
      </c>
      <c r="B732" s="14">
        <v>43817</v>
      </c>
      <c r="C732" s="15" t="str">
        <f>VLOOKUP(A732,Base!B:C,2,0)</f>
        <v>RESGATE APLICAÇÃO</v>
      </c>
      <c r="D732" s="15" t="str">
        <f>VLOOKUP(A732,Base!B:D,3,0)</f>
        <v>PALCOPARANÁ</v>
      </c>
      <c r="E732" s="23" t="str">
        <f>VLOOKUP($A732,Base!B:E,4,0)</f>
        <v>25.298.788/0001-95</v>
      </c>
      <c r="F732" s="24">
        <f>VLOOKUP($A732,Base!B:F,5,0)</f>
        <v>0</v>
      </c>
      <c r="G732" s="23"/>
      <c r="H732" s="17" t="s">
        <v>13</v>
      </c>
      <c r="I732" s="19">
        <v>818.4</v>
      </c>
      <c r="J732" s="20"/>
      <c r="K732" s="21">
        <f t="shared" si="11"/>
        <v>1212.8500000000408</v>
      </c>
    </row>
    <row r="733" spans="1:11" ht="12" customHeight="1" x14ac:dyDescent="0.25">
      <c r="A733" s="28">
        <v>4</v>
      </c>
      <c r="B733" s="14">
        <v>43818</v>
      </c>
      <c r="C733" s="15" t="str">
        <f>VLOOKUP(A733,Base!B:C,2,0)</f>
        <v>3.3.90.39.47 - SERVIÇO DE COMUNICAÇÃO EM GERAL</v>
      </c>
      <c r="D733" s="15" t="str">
        <f>VLOOKUP(A733,Base!B:D,3,0)</f>
        <v>DPTO DE IMPRENSA OFICIAL ESTADO DO PARANÁ</v>
      </c>
      <c r="E733" s="23" t="str">
        <f>VLOOKUP($A733,Base!B:E,4,0)</f>
        <v>76.437.383/0001-21</v>
      </c>
      <c r="F733" s="24" t="str">
        <f>VLOOKUP($A733,Base!B:F,5,0)</f>
        <v>NOTA FISCAL</v>
      </c>
      <c r="G733" s="23">
        <v>2019291278</v>
      </c>
      <c r="H733" s="17" t="s">
        <v>455</v>
      </c>
      <c r="I733" s="19"/>
      <c r="J733" s="20">
        <v>150</v>
      </c>
      <c r="K733" s="21">
        <f t="shared" si="11"/>
        <v>1062.8500000000408</v>
      </c>
    </row>
    <row r="734" spans="1:11" ht="12" customHeight="1" x14ac:dyDescent="0.25">
      <c r="A734" s="28">
        <v>4</v>
      </c>
      <c r="B734" s="14">
        <v>43818</v>
      </c>
      <c r="C734" s="15" t="str">
        <f>VLOOKUP(A734,Base!B:C,2,0)</f>
        <v>3.3.90.39.47 - SERVIÇO DE COMUNICAÇÃO EM GERAL</v>
      </c>
      <c r="D734" s="15" t="str">
        <f>VLOOKUP(A734,Base!B:D,3,0)</f>
        <v>DPTO DE IMPRENSA OFICIAL ESTADO DO PARANÁ</v>
      </c>
      <c r="E734" s="23" t="str">
        <f>VLOOKUP($A734,Base!B:E,4,0)</f>
        <v>76.437.383/0001-21</v>
      </c>
      <c r="F734" s="24" t="str">
        <f>VLOOKUP($A734,Base!B:F,5,0)</f>
        <v>NOTA FISCAL</v>
      </c>
      <c r="G734" s="23">
        <v>2019291263</v>
      </c>
      <c r="H734" s="17" t="s">
        <v>456</v>
      </c>
      <c r="I734" s="19"/>
      <c r="J734" s="20">
        <v>150</v>
      </c>
      <c r="K734" s="21">
        <f t="shared" si="11"/>
        <v>912.85000000004084</v>
      </c>
    </row>
    <row r="735" spans="1:11" ht="12" customHeight="1" x14ac:dyDescent="0.25">
      <c r="A735" s="28">
        <v>26</v>
      </c>
      <c r="B735" s="14">
        <v>43819</v>
      </c>
      <c r="C735" s="15" t="str">
        <f>VLOOKUP(A735,Base!B:C,2,0)</f>
        <v>3.1.90.11.64 - FÉRIAS VENCIDAS OU PROPORCIONAIS - RGPS</v>
      </c>
      <c r="D735" s="15" t="str">
        <f>VLOOKUP(A735,Base!B:D,3,0)</f>
        <v>COLABORADORES DIVERSOS</v>
      </c>
      <c r="E735" s="23">
        <f>VLOOKUP($A735,Base!B:E,4,0)</f>
        <v>0</v>
      </c>
      <c r="F735" s="24" t="str">
        <f>VLOOKUP($A735,Base!B:F,5,0)</f>
        <v>RECIBO</v>
      </c>
      <c r="G735" s="23"/>
      <c r="H735" s="17" t="s">
        <v>457</v>
      </c>
      <c r="I735" s="19"/>
      <c r="J735" s="20">
        <v>232174.21</v>
      </c>
      <c r="K735" s="21">
        <f t="shared" si="11"/>
        <v>-231261.35999999996</v>
      </c>
    </row>
    <row r="736" spans="1:11" ht="12" customHeight="1" x14ac:dyDescent="0.25">
      <c r="A736" s="28">
        <v>5</v>
      </c>
      <c r="B736" s="14">
        <v>43819</v>
      </c>
      <c r="C736" s="15" t="str">
        <f>VLOOKUP(A736,Base!B:C,2,0)</f>
        <v>RESGATE APLICAÇÃO</v>
      </c>
      <c r="D736" s="15" t="str">
        <f>VLOOKUP(A736,Base!B:D,3,0)</f>
        <v>PALCOPARANÁ</v>
      </c>
      <c r="E736" s="23" t="str">
        <f>VLOOKUP($A736,Base!B:E,4,0)</f>
        <v>25.298.788/0001-95</v>
      </c>
      <c r="F736" s="24">
        <f>VLOOKUP($A736,Base!B:F,5,0)</f>
        <v>0</v>
      </c>
      <c r="G736" s="23"/>
      <c r="H736" s="17" t="s">
        <v>13</v>
      </c>
      <c r="I736" s="19">
        <v>231500</v>
      </c>
      <c r="J736" s="20"/>
      <c r="K736" s="21">
        <f t="shared" si="11"/>
        <v>238.64000000004307</v>
      </c>
    </row>
    <row r="737" spans="1:11" ht="12" customHeight="1" x14ac:dyDescent="0.25">
      <c r="A737" s="28">
        <v>5</v>
      </c>
      <c r="B737" s="14">
        <v>43819</v>
      </c>
      <c r="C737" s="15" t="str">
        <f>VLOOKUP(A737,Base!B:C,2,0)</f>
        <v>RESGATE APLICAÇÃO</v>
      </c>
      <c r="D737" s="15" t="str">
        <f>VLOOKUP(A737,Base!B:D,3,0)</f>
        <v>PALCOPARANÁ</v>
      </c>
      <c r="E737" s="23" t="str">
        <f>VLOOKUP($A737,Base!B:E,4,0)</f>
        <v>25.298.788/0001-95</v>
      </c>
      <c r="F737" s="24">
        <f>VLOOKUP($A737,Base!B:F,5,0)</f>
        <v>0</v>
      </c>
      <c r="G737" s="23"/>
      <c r="H737" s="17" t="s">
        <v>13</v>
      </c>
      <c r="I737" s="19">
        <v>2115.91</v>
      </c>
      <c r="J737" s="20"/>
      <c r="K737" s="21">
        <f t="shared" si="11"/>
        <v>2354.5500000000429</v>
      </c>
    </row>
    <row r="738" spans="1:11" ht="12" customHeight="1" x14ac:dyDescent="0.25">
      <c r="A738" s="28">
        <v>1</v>
      </c>
      <c r="B738" s="14">
        <v>43829</v>
      </c>
      <c r="C738" s="15" t="str">
        <f>VLOOKUP(A738,Base!B:C,2,0)</f>
        <v>3.1.90.11.61 - VENCIMENTOS E SALÁRIOS</v>
      </c>
      <c r="D738" s="15" t="str">
        <f>VLOOKUP(A738,Base!B:D,3,0)</f>
        <v>COLABORADORES DIVERSOS</v>
      </c>
      <c r="E738" s="23">
        <f>VLOOKUP($A738,Base!B:E,4,0)</f>
        <v>0</v>
      </c>
      <c r="F738" s="24" t="str">
        <f>VLOOKUP($A738,Base!B:F,5,0)</f>
        <v>HOLERITE</v>
      </c>
      <c r="G738" s="23"/>
      <c r="H738" s="17" t="s">
        <v>458</v>
      </c>
      <c r="I738" s="19"/>
      <c r="J738" s="20">
        <v>177063.4</v>
      </c>
      <c r="K738" s="21">
        <f t="shared" si="11"/>
        <v>-174708.84999999995</v>
      </c>
    </row>
    <row r="739" spans="1:11" ht="12" customHeight="1" x14ac:dyDescent="0.25">
      <c r="A739" s="28">
        <v>14</v>
      </c>
      <c r="B739" s="14">
        <v>43829</v>
      </c>
      <c r="C739" s="15" t="str">
        <f>VLOOKUP(A739,Base!B:C,2,0)</f>
        <v>3.3.90.39.39 - ENCARGOS FINANCEIROS INDEDUTÍVEIS</v>
      </c>
      <c r="D739" s="15" t="str">
        <f>VLOOKUP(A739,Base!B:D,3,0)</f>
        <v>BANCO DO BRASIL</v>
      </c>
      <c r="E739" s="23">
        <f>VLOOKUP($A739,Base!B:E,4,0)</f>
        <v>191</v>
      </c>
      <c r="F739" s="24" t="str">
        <f>VLOOKUP($A739,Base!B:F,5,0)</f>
        <v>AVISO DE DÉBITO</v>
      </c>
      <c r="G739" s="23"/>
      <c r="H739" s="17" t="s">
        <v>459</v>
      </c>
      <c r="I739" s="19"/>
      <c r="J739" s="20">
        <v>11.4</v>
      </c>
      <c r="K739" s="21">
        <f t="shared" si="11"/>
        <v>-174720.24999999994</v>
      </c>
    </row>
    <row r="740" spans="1:11" ht="12" customHeight="1" x14ac:dyDescent="0.25">
      <c r="A740" s="28">
        <v>14</v>
      </c>
      <c r="B740" s="14">
        <v>43829</v>
      </c>
      <c r="C740" s="15" t="str">
        <f>VLOOKUP(A740,Base!B:C,2,0)</f>
        <v>3.3.90.39.39 - ENCARGOS FINANCEIROS INDEDUTÍVEIS</v>
      </c>
      <c r="D740" s="15" t="str">
        <f>VLOOKUP(A740,Base!B:D,3,0)</f>
        <v>BANCO DO BRASIL</v>
      </c>
      <c r="E740" s="23">
        <f>VLOOKUP($A740,Base!B:E,4,0)</f>
        <v>191</v>
      </c>
      <c r="F740" s="24" t="str">
        <f>VLOOKUP($A740,Base!B:F,5,0)</f>
        <v>AVISO DE DÉBITO</v>
      </c>
      <c r="G740" s="23"/>
      <c r="H740" s="17" t="s">
        <v>459</v>
      </c>
      <c r="I740" s="19"/>
      <c r="J740" s="20">
        <v>5.7</v>
      </c>
      <c r="K740" s="21">
        <f t="shared" si="11"/>
        <v>-174725.94999999995</v>
      </c>
    </row>
    <row r="741" spans="1:11" ht="12" customHeight="1" x14ac:dyDescent="0.25">
      <c r="A741" s="28">
        <v>5</v>
      </c>
      <c r="B741" s="14">
        <v>43829</v>
      </c>
      <c r="C741" s="15" t="str">
        <f>VLOOKUP(A741,Base!B:C,2,0)</f>
        <v>RESGATE APLICAÇÃO</v>
      </c>
      <c r="D741" s="15" t="str">
        <f>VLOOKUP(A741,Base!B:D,3,0)</f>
        <v>PALCOPARANÁ</v>
      </c>
      <c r="E741" s="23" t="str">
        <f>VLOOKUP($A741,Base!B:E,4,0)</f>
        <v>25.298.788/0001-95</v>
      </c>
      <c r="F741" s="24">
        <f>VLOOKUP($A741,Base!B:F,5,0)</f>
        <v>0</v>
      </c>
      <c r="G741" s="23"/>
      <c r="H741" s="17" t="s">
        <v>13</v>
      </c>
      <c r="I741" s="19">
        <v>175000</v>
      </c>
      <c r="J741" s="20"/>
      <c r="K741" s="21">
        <f t="shared" si="11"/>
        <v>274.05000000004657</v>
      </c>
    </row>
    <row r="742" spans="1:11" x14ac:dyDescent="0.25">
      <c r="A742" s="36">
        <v>5</v>
      </c>
      <c r="B742" s="37">
        <v>43829</v>
      </c>
      <c r="C742" s="38" t="str">
        <f>VLOOKUP(A742,Base!B:C,2,0)</f>
        <v>RESGATE APLICAÇÃO</v>
      </c>
      <c r="D742" s="38" t="str">
        <f>VLOOKUP(A742,Base!B:D,3,0)</f>
        <v>PALCOPARANÁ</v>
      </c>
      <c r="E742" s="39" t="str">
        <f>VLOOKUP($A742,Base!B:E,4,0)</f>
        <v>25.298.788/0001-95</v>
      </c>
      <c r="F742" s="40">
        <f>VLOOKUP($A742,Base!B:F,5,0)</f>
        <v>0</v>
      </c>
      <c r="G742" s="39"/>
      <c r="H742" s="40" t="s">
        <v>13</v>
      </c>
      <c r="I742" s="41">
        <v>1746.5</v>
      </c>
      <c r="J742" s="42"/>
      <c r="K742" s="43">
        <f t="shared" si="11"/>
        <v>2020.5500000000466</v>
      </c>
    </row>
  </sheetData>
  <conditionalFormatting sqref="A1:A742">
    <cfRule type="containsText" dxfId="70" priority="2" operator="containsText" text="19">
      <formula>NOT(ISERROR(SEARCH("19",A1)))</formula>
    </cfRule>
    <cfRule type="containsText" dxfId="69" priority="3" operator="containsText" text="24">
      <formula>NOT(ISERROR(SEARCH("24",A1)))</formula>
    </cfRule>
    <cfRule type="containsText" dxfId="68" priority="4" operator="containsText" text="6">
      <formula>NOT(ISERROR(SEARCH("6",A1)))</formula>
    </cfRule>
    <cfRule type="containsText" dxfId="67" priority="5" operator="containsText" text="8">
      <formula>NOT(ISERROR(SEARCH("8",A1)))</formula>
    </cfRule>
    <cfRule type="containsText" dxfId="66" priority="6" operator="containsText" text="7">
      <formula>NOT(ISERROR(SEARCH("7",A1)))</formula>
    </cfRule>
    <cfRule type="containsText" dxfId="65" priority="7" operator="containsText" text="1">
      <formula>NOT(ISERROR(SEARCH("1",A1)))</formula>
    </cfRule>
    <cfRule type="containsText" dxfId="64" priority="8" operator="containsText" text="3">
      <formula>NOT(ISERROR(SEARCH("3",A1)))</formula>
    </cfRule>
    <cfRule type="containsText" dxfId="63" priority="9" operator="containsText" text="16">
      <formula>NOT(ISERROR(SEARCH("16",A1)))</formula>
    </cfRule>
    <cfRule type="containsText" dxfId="62" priority="10" operator="containsText" text="10">
      <formula>NOT(ISERROR(SEARCH("10",A1)))</formula>
    </cfRule>
    <cfRule type="containsText" dxfId="61" priority="11" operator="containsText" text="9">
      <formula>NOT(ISERROR(SEARCH("9",A1)))</formula>
    </cfRule>
    <cfRule type="containsText" dxfId="60" priority="12" operator="containsText" text="2">
      <formula>NOT(ISERROR(SEARCH("2",A1)))</formula>
    </cfRule>
    <cfRule type="containsText" dxfId="59" priority="13" operator="containsText" text="4">
      <formula>NOT(ISERROR(SEARCH("4",A1)))</formula>
    </cfRule>
    <cfRule type="containsText" dxfId="58" priority="14" operator="containsText" text="14">
      <formula>NOT(ISERROR(SEARCH("14",A1)))</formula>
    </cfRule>
    <cfRule type="containsText" dxfId="57" priority="15" operator="containsText" text="43">
      <formula>NOT(ISERROR(SEARCH("43",A1)))</formula>
    </cfRule>
    <cfRule type="containsText" dxfId="56" priority="16" operator="containsText" text="13">
      <formula>NOT(ISERROR(SEARCH("13",A1)))</formula>
    </cfRule>
  </conditionalFormatting>
  <conditionalFormatting sqref="A2:A742">
    <cfRule type="containsText" dxfId="55" priority="17" operator="containsText" text="5">
      <formula>NOT(ISERROR(SEARCH("5",A2)))</formula>
    </cfRule>
  </conditionalFormatting>
  <conditionalFormatting sqref="K2:K742">
    <cfRule type="cellIs" dxfId="54" priority="18" operator="greaterThan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"/>
  <sheetViews>
    <sheetView showGridLines="0" zoomScaleNormal="100" workbookViewId="0">
      <pane ySplit="1" topLeftCell="A2" activePane="bottomLeft" state="frozen"/>
      <selection pane="bottomLeft" activeCell="F31" activeCellId="1" sqref="L15:L67 F31"/>
    </sheetView>
  </sheetViews>
  <sheetFormatPr defaultColWidth="9.140625" defaultRowHeight="15" x14ac:dyDescent="0.25"/>
  <cols>
    <col min="1" max="1" width="7.140625" style="140" customWidth="1"/>
    <col min="2" max="2" width="11.28515625" style="140" customWidth="1"/>
    <col min="3" max="3" width="12.85546875" style="140" customWidth="1"/>
    <col min="4" max="4" width="9.85546875" style="140" customWidth="1"/>
    <col min="5" max="5" width="13.42578125" style="140" customWidth="1"/>
    <col min="6" max="6" width="15.42578125" style="140" customWidth="1"/>
    <col min="7" max="7" width="18.5703125" style="140" customWidth="1"/>
    <col min="8" max="8" width="19.42578125" style="140" customWidth="1"/>
    <col min="9" max="9" width="9.85546875" style="141" customWidth="1"/>
    <col min="10" max="10" width="34.42578125" style="6" customWidth="1"/>
    <col min="11" max="11" width="13.28515625" style="140" customWidth="1"/>
    <col min="12" max="12" width="12.7109375" style="142" customWidth="1"/>
    <col min="13" max="13" width="12.7109375" style="140" customWidth="1"/>
    <col min="14" max="14" width="4" style="140" customWidth="1"/>
    <col min="15" max="15" width="5.42578125" style="140" customWidth="1"/>
    <col min="16" max="16384" width="9.140625" style="140"/>
  </cols>
  <sheetData>
    <row r="1" spans="1:17" ht="12" customHeight="1" x14ac:dyDescent="0.25">
      <c r="A1" s="144" t="s">
        <v>0</v>
      </c>
      <c r="B1" s="145" t="s">
        <v>595</v>
      </c>
      <c r="C1" s="145" t="s">
        <v>587</v>
      </c>
      <c r="D1" s="145" t="s">
        <v>1</v>
      </c>
      <c r="E1" s="146" t="s">
        <v>2</v>
      </c>
      <c r="F1" s="146" t="s">
        <v>3</v>
      </c>
      <c r="G1" s="145" t="s">
        <v>4</v>
      </c>
      <c r="H1" s="145" t="s">
        <v>5</v>
      </c>
      <c r="I1" s="147" t="s">
        <v>6</v>
      </c>
      <c r="J1" s="148" t="s">
        <v>7</v>
      </c>
      <c r="K1" s="149" t="s">
        <v>8</v>
      </c>
      <c r="L1" s="150" t="s">
        <v>9</v>
      </c>
      <c r="M1" s="151" t="s">
        <v>10</v>
      </c>
    </row>
    <row r="2" spans="1:17" ht="12" customHeight="1" x14ac:dyDescent="0.25">
      <c r="A2" s="28"/>
      <c r="B2" s="128"/>
      <c r="C2" s="17" t="s">
        <v>590</v>
      </c>
      <c r="D2" s="129"/>
      <c r="E2" s="17"/>
      <c r="F2" s="179"/>
      <c r="G2" s="17"/>
      <c r="H2" s="24"/>
      <c r="I2" s="35"/>
      <c r="J2" s="51" t="s">
        <v>682</v>
      </c>
      <c r="K2" s="19">
        <v>1000</v>
      </c>
      <c r="L2" s="130"/>
      <c r="M2" s="21">
        <f>ExtratoBanco37[[#This Row],[CRÉDITO]]</f>
        <v>1000</v>
      </c>
    </row>
    <row r="3" spans="1:17" ht="12" customHeight="1" x14ac:dyDescent="0.25">
      <c r="A3" s="152">
        <v>14</v>
      </c>
      <c r="B3" s="128"/>
      <c r="C3" s="17" t="s">
        <v>590</v>
      </c>
      <c r="D3" s="129">
        <v>44757</v>
      </c>
      <c r="E3" s="17" t="str">
        <f>VLOOKUP(A3,Base[],2,0)</f>
        <v>3.3.90.39.39 - ENCARGOS FINANCEIROS INDEDUTÍVEIS</v>
      </c>
      <c r="F3" s="17" t="str">
        <f>VLOOKUP(A3,Base[],3,0)</f>
        <v>BANCO DO BRASIL</v>
      </c>
      <c r="G3" s="17">
        <f>VLOOKUP(A3,Base[],4,0)</f>
        <v>191</v>
      </c>
      <c r="H3" s="17" t="str">
        <f>VLOOKUP(A3,Base[],5,0)</f>
        <v>AVISO DE DÉBITO</v>
      </c>
      <c r="I3" s="17">
        <f>VLOOKUP(A3,Base[],6,0)</f>
        <v>0</v>
      </c>
      <c r="J3" s="51"/>
      <c r="K3" s="19"/>
      <c r="L3" s="130">
        <v>59.95</v>
      </c>
      <c r="M3" s="21">
        <f>M2+ExtratoBanco37[[#This Row],[CRÉDITO]]-ExtratoBanco37[[#This Row],[DÉBITO]]</f>
        <v>940.05</v>
      </c>
    </row>
    <row r="4" spans="1:17" ht="12" customHeight="1" x14ac:dyDescent="0.25">
      <c r="A4" s="28">
        <v>19</v>
      </c>
      <c r="B4" s="128"/>
      <c r="C4" s="17" t="s">
        <v>590</v>
      </c>
      <c r="D4" s="129">
        <v>44764</v>
      </c>
      <c r="E4" s="17" t="str">
        <f>VLOOKUP(A4,Base[],2,0)</f>
        <v>CRÉDITO</v>
      </c>
      <c r="F4" s="17" t="str">
        <f>VLOOKUP(A4,Base[],3,0)</f>
        <v>PALCOPARANÁ</v>
      </c>
      <c r="G4" s="17" t="str">
        <f>VLOOKUP(A4,Base[],4,0)</f>
        <v>25.298.788/0001-95</v>
      </c>
      <c r="H4" s="17">
        <f>VLOOKUP(A4,Base[],5,0)</f>
        <v>0</v>
      </c>
      <c r="I4" s="17">
        <f>VLOOKUP(A4,Base[],6,0)</f>
        <v>0</v>
      </c>
      <c r="J4" s="51"/>
      <c r="K4" s="19">
        <v>8000</v>
      </c>
      <c r="L4" s="130"/>
      <c r="M4" s="21">
        <f>M3+ExtratoBanco37[[#This Row],[CRÉDITO]]-ExtratoBanco37[[#This Row],[DÉBITO]]</f>
        <v>8940.0499999999993</v>
      </c>
    </row>
    <row r="5" spans="1:17" ht="12" customHeight="1" x14ac:dyDescent="0.25">
      <c r="A5" s="28">
        <v>19</v>
      </c>
      <c r="B5" s="128"/>
      <c r="C5" s="17" t="s">
        <v>590</v>
      </c>
      <c r="D5" s="129">
        <v>44764</v>
      </c>
      <c r="E5" s="17" t="str">
        <f>VLOOKUP(A5,Base[],2,0)</f>
        <v>CRÉDITO</v>
      </c>
      <c r="F5" s="17" t="str">
        <f>VLOOKUP(A5,Base[],3,0)</f>
        <v>PALCOPARANÁ</v>
      </c>
      <c r="G5" s="17" t="str">
        <f>VLOOKUP(A5,Base[],4,0)</f>
        <v>25.298.788/0001-95</v>
      </c>
      <c r="H5" s="17"/>
      <c r="I5" s="17"/>
      <c r="J5" s="51" t="s">
        <v>683</v>
      </c>
      <c r="K5" s="19">
        <v>900</v>
      </c>
      <c r="L5" s="130"/>
      <c r="M5" s="21">
        <f>M4+ExtratoBanco37[[#This Row],[CRÉDITO]]-ExtratoBanco37[[#This Row],[DÉBITO]]</f>
        <v>9840.0499999999993</v>
      </c>
    </row>
    <row r="6" spans="1:17" ht="12" customHeight="1" x14ac:dyDescent="0.25">
      <c r="A6" s="28"/>
      <c r="B6" s="128"/>
      <c r="C6" s="17"/>
      <c r="D6" s="129"/>
      <c r="E6" s="17"/>
      <c r="F6" s="17"/>
      <c r="G6" s="17"/>
      <c r="H6" s="17"/>
      <c r="I6" s="17"/>
      <c r="J6" s="51"/>
      <c r="K6" s="19"/>
      <c r="L6" s="130"/>
      <c r="M6" s="21">
        <f>M5+ExtratoBanco37[[#This Row],[CRÉDITO]]-ExtratoBanco37[[#This Row],[DÉBITO]]</f>
        <v>9840.0499999999993</v>
      </c>
    </row>
    <row r="7" spans="1:17" ht="12" customHeight="1" x14ac:dyDescent="0.25">
      <c r="A7" s="152"/>
      <c r="B7" s="128"/>
      <c r="C7" s="17"/>
      <c r="D7" s="129"/>
      <c r="E7" s="17"/>
      <c r="F7" s="17"/>
      <c r="G7" s="17"/>
      <c r="H7" s="17"/>
      <c r="I7" s="17"/>
      <c r="J7" s="51"/>
      <c r="K7" s="19"/>
      <c r="L7" s="130"/>
      <c r="M7" s="21">
        <f>M6+ExtratoBanco37[[#This Row],[CRÉDITO]]-ExtratoBanco37[[#This Row],[DÉBITO]]</f>
        <v>9840.0499999999993</v>
      </c>
    </row>
    <row r="8" spans="1:17" ht="12" customHeight="1" x14ac:dyDescent="0.25">
      <c r="A8" s="13"/>
      <c r="B8" s="128"/>
      <c r="C8" s="17"/>
      <c r="D8" s="129"/>
      <c r="E8" s="17"/>
      <c r="F8" s="17"/>
      <c r="G8" s="17"/>
      <c r="H8" s="17"/>
      <c r="I8" s="17"/>
      <c r="J8" s="51"/>
      <c r="K8" s="19"/>
      <c r="L8" s="130"/>
      <c r="M8" s="21">
        <f>M7+ExtratoBanco37[[#This Row],[CRÉDITO]]-ExtratoBanco37[[#This Row],[DÉBITO]]</f>
        <v>9840.0499999999993</v>
      </c>
    </row>
    <row r="9" spans="1:17" ht="12" customHeight="1" x14ac:dyDescent="0.25">
      <c r="L9" s="153" t="s">
        <v>661</v>
      </c>
      <c r="M9" s="154">
        <v>9840.0499999999993</v>
      </c>
      <c r="N9" s="178"/>
      <c r="O9" s="178"/>
      <c r="P9" s="178"/>
      <c r="Q9" s="178"/>
    </row>
    <row r="10" spans="1:17" ht="12" customHeight="1" x14ac:dyDescent="0.25">
      <c r="L10" s="118"/>
      <c r="M10" s="133">
        <f>M9-M8</f>
        <v>0</v>
      </c>
      <c r="N10" s="178"/>
      <c r="O10" s="178"/>
      <c r="P10" s="178"/>
      <c r="Q10" s="178"/>
    </row>
    <row r="12" spans="1:17" ht="12" customHeight="1" x14ac:dyDescent="0.25">
      <c r="G12" s="180"/>
    </row>
    <row r="13" spans="1:17" ht="12" customHeight="1" x14ac:dyDescent="0.25">
      <c r="G13" s="180"/>
    </row>
  </sheetData>
  <conditionalFormatting sqref="A1:A8">
    <cfRule type="cellIs" dxfId="10" priority="4" operator="between">
      <formula>1</formula>
      <formula>4</formula>
    </cfRule>
    <cfRule type="cellIs" dxfId="9" priority="5" operator="between">
      <formula>6</formula>
      <formula>18</formula>
    </cfRule>
    <cfRule type="cellIs" dxfId="8" priority="6" operator="between">
      <formula>20</formula>
      <formula>23</formula>
    </cfRule>
    <cfRule type="cellIs" dxfId="7" priority="7" operator="equal">
      <formula>5</formula>
    </cfRule>
    <cfRule type="cellIs" dxfId="6" priority="8" operator="equal">
      <formula>19</formula>
    </cfRule>
    <cfRule type="cellIs" dxfId="5" priority="9" operator="equal">
      <formula>24</formula>
    </cfRule>
    <cfRule type="cellIs" dxfId="4" priority="10" operator="between">
      <formula>25</formula>
      <formula>50</formula>
    </cfRule>
    <cfRule type="cellIs" dxfId="3" priority="11" operator="equal">
      <formula>51</formula>
    </cfRule>
    <cfRule type="cellIs" dxfId="2" priority="12" operator="greaterThanOrEqual">
      <formula>52</formula>
    </cfRule>
  </conditionalFormatting>
  <conditionalFormatting sqref="M2:M8">
    <cfRule type="cellIs" dxfId="1" priority="3" operator="greaterThanOrEqual">
      <formula>0</formula>
    </cfRule>
  </conditionalFormatting>
  <conditionalFormatting sqref="M9">
    <cfRule type="cellIs" dxfId="0" priority="2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showGridLines="0" zoomScaleNormal="100" workbookViewId="0">
      <pane ySplit="1" topLeftCell="A2" activePane="bottomLeft" state="frozen"/>
      <selection pane="bottomLeft" activeCell="C20" activeCellId="1" sqref="L15:L67 C20"/>
    </sheetView>
  </sheetViews>
  <sheetFormatPr defaultColWidth="9.140625" defaultRowHeight="11.25" x14ac:dyDescent="0.2"/>
  <cols>
    <col min="1" max="1" width="3.140625" style="44" customWidth="1"/>
    <col min="2" max="2" width="4.85546875" style="44" customWidth="1"/>
    <col min="3" max="3" width="59" style="44" customWidth="1"/>
    <col min="4" max="4" width="37.7109375" style="44" customWidth="1"/>
    <col min="5" max="5" width="15" style="44" customWidth="1"/>
    <col min="6" max="6" width="11.85546875" style="44" customWidth="1"/>
    <col min="7" max="7" width="5.7109375" style="44" customWidth="1"/>
    <col min="8" max="8" width="44.85546875" style="44" customWidth="1"/>
    <col min="9" max="16384" width="9.140625" style="44"/>
  </cols>
  <sheetData>
    <row r="1" spans="1:8" x14ac:dyDescent="0.2">
      <c r="A1" s="45"/>
      <c r="B1" s="46" t="s">
        <v>0</v>
      </c>
      <c r="C1" s="46" t="s">
        <v>2</v>
      </c>
      <c r="D1" s="46" t="s">
        <v>3</v>
      </c>
      <c r="E1" s="46" t="s">
        <v>4</v>
      </c>
      <c r="F1" s="46" t="s">
        <v>460</v>
      </c>
      <c r="G1" s="47" t="s">
        <v>6</v>
      </c>
      <c r="H1" s="47" t="s">
        <v>7</v>
      </c>
    </row>
    <row r="2" spans="1:8" x14ac:dyDescent="0.2">
      <c r="A2" s="45"/>
      <c r="B2" s="48">
        <v>1</v>
      </c>
      <c r="C2" s="49" t="s">
        <v>461</v>
      </c>
      <c r="D2" s="50" t="s">
        <v>462</v>
      </c>
      <c r="E2" s="50"/>
      <c r="F2" s="50" t="s">
        <v>16</v>
      </c>
      <c r="G2" s="50"/>
      <c r="H2" s="50"/>
    </row>
    <row r="3" spans="1:8" x14ac:dyDescent="0.2">
      <c r="A3" s="45"/>
      <c r="B3" s="48">
        <v>2</v>
      </c>
      <c r="C3" s="49" t="s">
        <v>461</v>
      </c>
      <c r="D3" s="50" t="s">
        <v>62</v>
      </c>
      <c r="E3" s="50" t="s">
        <v>120</v>
      </c>
      <c r="F3" s="50" t="s">
        <v>16</v>
      </c>
      <c r="G3" s="50"/>
      <c r="H3" s="50"/>
    </row>
    <row r="4" spans="1:8" x14ac:dyDescent="0.2">
      <c r="A4" s="45"/>
      <c r="B4" s="48">
        <v>3</v>
      </c>
      <c r="C4" s="50" t="s">
        <v>463</v>
      </c>
      <c r="D4" s="50" t="s">
        <v>462</v>
      </c>
      <c r="E4" s="50"/>
      <c r="F4" s="50" t="s">
        <v>464</v>
      </c>
      <c r="G4" s="50"/>
      <c r="H4" s="50"/>
    </row>
    <row r="5" spans="1:8" x14ac:dyDescent="0.2">
      <c r="A5" s="45"/>
      <c r="B5" s="48">
        <v>4</v>
      </c>
      <c r="C5" s="50" t="s">
        <v>465</v>
      </c>
      <c r="D5" s="50" t="s">
        <v>466</v>
      </c>
      <c r="E5" s="50" t="s">
        <v>467</v>
      </c>
      <c r="F5" s="50" t="s">
        <v>468</v>
      </c>
      <c r="G5" s="50"/>
      <c r="H5" s="51" t="s">
        <v>469</v>
      </c>
    </row>
    <row r="6" spans="1:8" x14ac:dyDescent="0.2">
      <c r="A6" s="45"/>
      <c r="B6" s="52">
        <v>5</v>
      </c>
      <c r="C6" s="50" t="s">
        <v>13</v>
      </c>
      <c r="D6" s="50" t="s">
        <v>470</v>
      </c>
      <c r="E6" s="50" t="s">
        <v>471</v>
      </c>
      <c r="F6" s="50"/>
      <c r="G6" s="50"/>
      <c r="H6" s="53" t="s">
        <v>13</v>
      </c>
    </row>
    <row r="7" spans="1:8" x14ac:dyDescent="0.2">
      <c r="A7" s="45"/>
      <c r="B7" s="48">
        <v>6</v>
      </c>
      <c r="C7" s="50" t="s">
        <v>461</v>
      </c>
      <c r="D7" s="48" t="s">
        <v>472</v>
      </c>
      <c r="E7" s="50"/>
      <c r="F7" s="50" t="s">
        <v>16</v>
      </c>
      <c r="G7" s="50"/>
      <c r="H7" s="50"/>
    </row>
    <row r="8" spans="1:8" x14ac:dyDescent="0.2">
      <c r="A8" s="45"/>
      <c r="B8" s="48">
        <v>7</v>
      </c>
      <c r="C8" s="50" t="s">
        <v>473</v>
      </c>
      <c r="D8" s="54" t="s">
        <v>474</v>
      </c>
      <c r="E8" s="50" t="s">
        <v>475</v>
      </c>
      <c r="F8" s="50" t="s">
        <v>76</v>
      </c>
      <c r="G8" s="50"/>
      <c r="H8" s="50"/>
    </row>
    <row r="9" spans="1:8" x14ac:dyDescent="0.2">
      <c r="A9" s="45"/>
      <c r="B9" s="48">
        <v>8</v>
      </c>
      <c r="C9" s="50" t="s">
        <v>476</v>
      </c>
      <c r="D9" s="48" t="s">
        <v>477</v>
      </c>
      <c r="E9" s="50"/>
      <c r="F9" s="50" t="s">
        <v>25</v>
      </c>
      <c r="G9" s="50"/>
      <c r="H9" s="50"/>
    </row>
    <row r="10" spans="1:8" x14ac:dyDescent="0.2">
      <c r="A10" s="45"/>
      <c r="B10" s="48">
        <v>9</v>
      </c>
      <c r="C10" s="50" t="s">
        <v>478</v>
      </c>
      <c r="D10" s="50" t="s">
        <v>479</v>
      </c>
      <c r="E10" s="50" t="s">
        <v>480</v>
      </c>
      <c r="F10" s="50" t="s">
        <v>76</v>
      </c>
      <c r="G10" s="50"/>
      <c r="H10" s="50" t="s">
        <v>21</v>
      </c>
    </row>
    <row r="11" spans="1:8" x14ac:dyDescent="0.2">
      <c r="A11" s="45"/>
      <c r="B11" s="48">
        <v>10</v>
      </c>
      <c r="C11" s="50" t="s">
        <v>481</v>
      </c>
      <c r="D11" s="50" t="s">
        <v>482</v>
      </c>
      <c r="E11" s="50"/>
      <c r="F11" s="50" t="s">
        <v>483</v>
      </c>
      <c r="G11" s="50"/>
      <c r="H11" s="50"/>
    </row>
    <row r="12" spans="1:8" x14ac:dyDescent="0.2">
      <c r="A12" s="45"/>
      <c r="B12" s="48">
        <v>11</v>
      </c>
      <c r="C12" s="50" t="s">
        <v>484</v>
      </c>
      <c r="D12" s="48" t="s">
        <v>477</v>
      </c>
      <c r="E12" s="50"/>
      <c r="F12" s="50" t="s">
        <v>25</v>
      </c>
      <c r="G12" s="50"/>
      <c r="H12" s="50"/>
    </row>
    <row r="13" spans="1:8" x14ac:dyDescent="0.2">
      <c r="A13" s="45"/>
      <c r="B13" s="48">
        <v>12</v>
      </c>
      <c r="C13" s="50" t="s">
        <v>463</v>
      </c>
      <c r="D13" s="50" t="s">
        <v>62</v>
      </c>
      <c r="E13" s="50" t="s">
        <v>120</v>
      </c>
      <c r="F13" s="50" t="s">
        <v>464</v>
      </c>
      <c r="G13" s="50"/>
      <c r="H13" s="50"/>
    </row>
    <row r="14" spans="1:8" x14ac:dyDescent="0.2">
      <c r="A14" s="45"/>
      <c r="B14" s="48">
        <v>13</v>
      </c>
      <c r="C14" s="50" t="s">
        <v>463</v>
      </c>
      <c r="D14" s="48" t="s">
        <v>472</v>
      </c>
      <c r="E14" s="50"/>
      <c r="F14" s="50" t="s">
        <v>464</v>
      </c>
      <c r="G14" s="50"/>
      <c r="H14" s="50"/>
    </row>
    <row r="15" spans="1:8" x14ac:dyDescent="0.2">
      <c r="A15" s="45"/>
      <c r="B15" s="48">
        <v>14</v>
      </c>
      <c r="C15" s="50" t="s">
        <v>485</v>
      </c>
      <c r="D15" s="50" t="s">
        <v>486</v>
      </c>
      <c r="E15" s="50">
        <v>191</v>
      </c>
      <c r="F15" s="50" t="s">
        <v>487</v>
      </c>
      <c r="G15" s="50"/>
      <c r="H15" s="50" t="s">
        <v>488</v>
      </c>
    </row>
    <row r="16" spans="1:8" x14ac:dyDescent="0.2">
      <c r="A16" s="45"/>
      <c r="B16" s="48">
        <v>15</v>
      </c>
      <c r="C16" s="50" t="s">
        <v>461</v>
      </c>
      <c r="D16" s="50" t="s">
        <v>445</v>
      </c>
      <c r="E16" s="50"/>
      <c r="F16" s="50" t="s">
        <v>489</v>
      </c>
      <c r="G16" s="50"/>
      <c r="H16" s="50"/>
    </row>
    <row r="17" spans="1:8" x14ac:dyDescent="0.2">
      <c r="A17" s="45"/>
      <c r="B17" s="48">
        <v>16</v>
      </c>
      <c r="C17" s="50" t="s">
        <v>490</v>
      </c>
      <c r="D17" s="50" t="s">
        <v>491</v>
      </c>
      <c r="E17" s="50" t="s">
        <v>492</v>
      </c>
      <c r="F17" s="50" t="s">
        <v>493</v>
      </c>
      <c r="G17" s="50"/>
      <c r="H17" s="50"/>
    </row>
    <row r="18" spans="1:8" x14ac:dyDescent="0.2">
      <c r="A18" s="45"/>
      <c r="B18" s="48">
        <v>17</v>
      </c>
      <c r="C18" s="50" t="s">
        <v>473</v>
      </c>
      <c r="D18" s="17" t="s">
        <v>494</v>
      </c>
      <c r="E18" s="50" t="s">
        <v>495</v>
      </c>
      <c r="F18" s="50" t="s">
        <v>76</v>
      </c>
      <c r="G18" s="50"/>
      <c r="H18" s="50"/>
    </row>
    <row r="19" spans="1:8" x14ac:dyDescent="0.2">
      <c r="A19" s="45"/>
      <c r="B19" s="48">
        <v>18</v>
      </c>
      <c r="C19" s="50" t="s">
        <v>496</v>
      </c>
      <c r="D19" s="50" t="s">
        <v>497</v>
      </c>
      <c r="E19" s="50"/>
      <c r="F19" s="50" t="s">
        <v>498</v>
      </c>
      <c r="G19" s="50"/>
      <c r="H19" s="50"/>
    </row>
    <row r="20" spans="1:8" x14ac:dyDescent="0.2">
      <c r="A20" s="45"/>
      <c r="B20" s="52">
        <v>19</v>
      </c>
      <c r="C20" s="50" t="s">
        <v>8</v>
      </c>
      <c r="D20" s="50" t="s">
        <v>470</v>
      </c>
      <c r="E20" s="50" t="s">
        <v>471</v>
      </c>
      <c r="F20" s="50"/>
      <c r="G20" s="50"/>
      <c r="H20" s="50" t="s">
        <v>499</v>
      </c>
    </row>
    <row r="21" spans="1:8" x14ac:dyDescent="0.2">
      <c r="A21" s="45"/>
      <c r="B21" s="48">
        <v>20</v>
      </c>
      <c r="C21" s="50" t="s">
        <v>500</v>
      </c>
      <c r="D21" s="50" t="s">
        <v>445</v>
      </c>
      <c r="E21" s="50" t="s">
        <v>501</v>
      </c>
      <c r="F21" s="50" t="s">
        <v>502</v>
      </c>
      <c r="G21" s="50"/>
      <c r="H21" s="50"/>
    </row>
    <row r="22" spans="1:8" x14ac:dyDescent="0.2">
      <c r="A22" s="45"/>
      <c r="B22" s="48">
        <v>21</v>
      </c>
      <c r="C22" s="50" t="s">
        <v>503</v>
      </c>
      <c r="D22" s="50" t="s">
        <v>445</v>
      </c>
      <c r="E22" s="50"/>
      <c r="F22" s="50" t="s">
        <v>446</v>
      </c>
      <c r="G22" s="50"/>
      <c r="H22" s="50"/>
    </row>
    <row r="23" spans="1:8" x14ac:dyDescent="0.2">
      <c r="A23" s="45"/>
      <c r="B23" s="48">
        <v>22</v>
      </c>
      <c r="C23" s="50" t="s">
        <v>504</v>
      </c>
      <c r="D23" s="50" t="s">
        <v>445</v>
      </c>
      <c r="E23" s="50"/>
      <c r="F23" s="50" t="s">
        <v>446</v>
      </c>
      <c r="G23" s="50"/>
      <c r="H23" s="50"/>
    </row>
    <row r="24" spans="1:8" x14ac:dyDescent="0.2">
      <c r="A24" s="45"/>
      <c r="B24" s="55">
        <v>23</v>
      </c>
      <c r="C24" s="50" t="s">
        <v>505</v>
      </c>
      <c r="D24" s="50" t="s">
        <v>470</v>
      </c>
      <c r="E24" s="50" t="s">
        <v>471</v>
      </c>
      <c r="F24" s="50"/>
      <c r="G24" s="50"/>
      <c r="H24" s="53" t="s">
        <v>65</v>
      </c>
    </row>
    <row r="25" spans="1:8" x14ac:dyDescent="0.2">
      <c r="A25" s="45"/>
      <c r="B25" s="56">
        <v>24</v>
      </c>
      <c r="C25" s="50" t="s">
        <v>506</v>
      </c>
      <c r="D25" s="50" t="s">
        <v>470</v>
      </c>
      <c r="E25" s="50" t="s">
        <v>471</v>
      </c>
      <c r="F25" s="50"/>
      <c r="G25" s="50"/>
      <c r="H25" s="53" t="s">
        <v>156</v>
      </c>
    </row>
    <row r="26" spans="1:8" x14ac:dyDescent="0.2">
      <c r="A26" s="45"/>
      <c r="B26" s="48">
        <v>25</v>
      </c>
      <c r="C26" s="50" t="s">
        <v>507</v>
      </c>
      <c r="D26" s="17" t="s">
        <v>508</v>
      </c>
      <c r="E26" s="57" t="s">
        <v>509</v>
      </c>
      <c r="F26" s="50" t="s">
        <v>76</v>
      </c>
      <c r="G26" s="50"/>
      <c r="H26" s="51" t="s">
        <v>510</v>
      </c>
    </row>
    <row r="27" spans="1:8" x14ac:dyDescent="0.2">
      <c r="A27" s="45"/>
      <c r="B27" s="48">
        <v>26</v>
      </c>
      <c r="C27" s="50" t="s">
        <v>511</v>
      </c>
      <c r="D27" s="50" t="s">
        <v>462</v>
      </c>
      <c r="E27" s="50"/>
      <c r="F27" s="50" t="s">
        <v>464</v>
      </c>
      <c r="G27" s="50"/>
      <c r="H27" s="50"/>
    </row>
    <row r="28" spans="1:8" x14ac:dyDescent="0.2">
      <c r="A28" s="45"/>
      <c r="B28" s="48">
        <v>27</v>
      </c>
      <c r="C28" s="50" t="s">
        <v>511</v>
      </c>
      <c r="D28" s="48" t="s">
        <v>472</v>
      </c>
      <c r="E28" s="50"/>
      <c r="F28" s="50" t="s">
        <v>464</v>
      </c>
      <c r="G28" s="50"/>
      <c r="H28" s="50"/>
    </row>
    <row r="29" spans="1:8" x14ac:dyDescent="0.2">
      <c r="A29" s="45"/>
      <c r="B29" s="48">
        <v>28</v>
      </c>
      <c r="C29" s="50" t="s">
        <v>512</v>
      </c>
      <c r="D29" s="48" t="s">
        <v>477</v>
      </c>
      <c r="E29" s="50"/>
      <c r="F29" s="50" t="s">
        <v>25</v>
      </c>
      <c r="G29" s="50"/>
      <c r="H29" s="50"/>
    </row>
    <row r="30" spans="1:8" x14ac:dyDescent="0.2">
      <c r="A30" s="45"/>
      <c r="B30" s="48">
        <v>29</v>
      </c>
      <c r="C30" s="50" t="s">
        <v>513</v>
      </c>
      <c r="D30" s="48" t="s">
        <v>477</v>
      </c>
      <c r="E30" s="50"/>
      <c r="F30" s="50" t="s">
        <v>152</v>
      </c>
      <c r="G30" s="50"/>
      <c r="H30" s="50"/>
    </row>
    <row r="31" spans="1:8" x14ac:dyDescent="0.2">
      <c r="A31" s="45"/>
      <c r="B31" s="48">
        <v>30</v>
      </c>
      <c r="C31" s="50" t="s">
        <v>514</v>
      </c>
      <c r="D31" s="50" t="s">
        <v>462</v>
      </c>
      <c r="E31" s="50"/>
      <c r="F31" s="50" t="s">
        <v>464</v>
      </c>
      <c r="G31" s="50"/>
      <c r="H31" s="50"/>
    </row>
    <row r="32" spans="1:8" x14ac:dyDescent="0.2">
      <c r="A32" s="45"/>
      <c r="B32" s="48">
        <v>31</v>
      </c>
      <c r="C32" s="50" t="s">
        <v>515</v>
      </c>
      <c r="D32" s="48" t="s">
        <v>472</v>
      </c>
      <c r="E32" s="50"/>
      <c r="F32" s="50" t="s">
        <v>464</v>
      </c>
      <c r="G32" s="50"/>
      <c r="H32" s="50"/>
    </row>
    <row r="33" spans="1:8" x14ac:dyDescent="0.2">
      <c r="A33" s="45"/>
      <c r="B33" s="48">
        <v>32</v>
      </c>
      <c r="C33" s="50" t="s">
        <v>516</v>
      </c>
      <c r="D33" s="48" t="s">
        <v>472</v>
      </c>
      <c r="E33" s="50"/>
      <c r="F33" s="50" t="s">
        <v>76</v>
      </c>
      <c r="G33" s="50"/>
      <c r="H33" s="50"/>
    </row>
    <row r="34" spans="1:8" x14ac:dyDescent="0.2">
      <c r="A34" s="45"/>
      <c r="B34" s="48">
        <v>33</v>
      </c>
      <c r="C34" s="50" t="s">
        <v>517</v>
      </c>
      <c r="D34" s="48" t="s">
        <v>477</v>
      </c>
      <c r="E34" s="50"/>
      <c r="F34" s="50" t="s">
        <v>25</v>
      </c>
      <c r="G34" s="50"/>
      <c r="H34" s="50"/>
    </row>
    <row r="35" spans="1:8" x14ac:dyDescent="0.2">
      <c r="A35" s="45"/>
      <c r="B35" s="48">
        <v>34</v>
      </c>
      <c r="C35" s="50" t="s">
        <v>518</v>
      </c>
      <c r="D35" s="48" t="s">
        <v>477</v>
      </c>
      <c r="E35" s="50"/>
      <c r="F35" s="50" t="s">
        <v>76</v>
      </c>
      <c r="G35" s="50"/>
      <c r="H35" s="50"/>
    </row>
    <row r="36" spans="1:8" x14ac:dyDescent="0.2">
      <c r="A36" s="45"/>
      <c r="B36" s="48">
        <v>35</v>
      </c>
      <c r="C36" s="50" t="s">
        <v>519</v>
      </c>
      <c r="D36" s="48" t="s">
        <v>477</v>
      </c>
      <c r="E36" s="50"/>
      <c r="F36" s="50" t="s">
        <v>76</v>
      </c>
      <c r="G36" s="50"/>
      <c r="H36" s="50"/>
    </row>
    <row r="37" spans="1:8" x14ac:dyDescent="0.2">
      <c r="A37" s="45"/>
      <c r="B37" s="48">
        <v>36</v>
      </c>
      <c r="C37" s="50" t="s">
        <v>520</v>
      </c>
      <c r="D37" s="48" t="s">
        <v>477</v>
      </c>
      <c r="E37" s="50"/>
      <c r="F37" s="50" t="s">
        <v>25</v>
      </c>
      <c r="G37" s="50"/>
      <c r="H37" s="50"/>
    </row>
    <row r="38" spans="1:8" x14ac:dyDescent="0.2">
      <c r="A38" s="45"/>
      <c r="B38" s="48">
        <v>37</v>
      </c>
      <c r="C38" s="50" t="s">
        <v>521</v>
      </c>
      <c r="D38" s="50" t="s">
        <v>486</v>
      </c>
      <c r="E38" s="50"/>
      <c r="F38" s="50"/>
      <c r="G38" s="50"/>
      <c r="H38" s="50"/>
    </row>
    <row r="39" spans="1:8" x14ac:dyDescent="0.2">
      <c r="A39" s="45"/>
      <c r="B39" s="48">
        <v>38</v>
      </c>
      <c r="C39" s="50" t="s">
        <v>522</v>
      </c>
      <c r="D39" s="50" t="s">
        <v>523</v>
      </c>
      <c r="E39" s="58" t="s">
        <v>524</v>
      </c>
      <c r="F39" s="50" t="s">
        <v>76</v>
      </c>
      <c r="G39" s="50"/>
      <c r="H39" s="50" t="s">
        <v>525</v>
      </c>
    </row>
    <row r="40" spans="1:8" x14ac:dyDescent="0.2">
      <c r="A40" s="45"/>
      <c r="B40" s="48">
        <v>39</v>
      </c>
      <c r="C40" s="50" t="s">
        <v>513</v>
      </c>
      <c r="D40" s="48" t="s">
        <v>477</v>
      </c>
      <c r="E40" s="50"/>
      <c r="F40" s="50" t="s">
        <v>152</v>
      </c>
      <c r="G40" s="50"/>
      <c r="H40" s="50"/>
    </row>
    <row r="41" spans="1:8" x14ac:dyDescent="0.2">
      <c r="A41" s="45"/>
      <c r="B41" s="48">
        <v>40</v>
      </c>
      <c r="C41" s="50" t="s">
        <v>526</v>
      </c>
      <c r="D41" s="50" t="s">
        <v>527</v>
      </c>
      <c r="E41" s="54" t="s">
        <v>528</v>
      </c>
      <c r="F41" s="50" t="s">
        <v>76</v>
      </c>
      <c r="G41" s="50"/>
      <c r="H41" s="50"/>
    </row>
    <row r="42" spans="1:8" x14ac:dyDescent="0.2">
      <c r="A42" s="45"/>
      <c r="B42" s="48">
        <v>41</v>
      </c>
      <c r="C42" s="50" t="s">
        <v>529</v>
      </c>
      <c r="D42" s="48" t="s">
        <v>477</v>
      </c>
      <c r="E42" s="50"/>
      <c r="F42" s="50"/>
      <c r="G42" s="50"/>
      <c r="H42" s="50"/>
    </row>
    <row r="43" spans="1:8" x14ac:dyDescent="0.2">
      <c r="A43" s="45"/>
      <c r="B43" s="48">
        <v>42</v>
      </c>
      <c r="C43" s="50" t="s">
        <v>530</v>
      </c>
      <c r="D43" s="50" t="s">
        <v>531</v>
      </c>
      <c r="E43" s="50"/>
      <c r="F43" s="50" t="s">
        <v>532</v>
      </c>
      <c r="G43" s="50"/>
      <c r="H43" s="50" t="s">
        <v>533</v>
      </c>
    </row>
    <row r="44" spans="1:8" x14ac:dyDescent="0.2">
      <c r="A44" s="45"/>
      <c r="B44" s="48">
        <v>43</v>
      </c>
      <c r="C44" s="50" t="s">
        <v>534</v>
      </c>
      <c r="D44" s="48" t="s">
        <v>472</v>
      </c>
      <c r="E44" s="50"/>
      <c r="F44" s="50" t="s">
        <v>464</v>
      </c>
      <c r="G44" s="50"/>
      <c r="H44" s="50"/>
    </row>
    <row r="45" spans="1:8" x14ac:dyDescent="0.2">
      <c r="A45" s="45"/>
      <c r="B45" s="48">
        <v>44</v>
      </c>
      <c r="C45" s="50" t="s">
        <v>535</v>
      </c>
      <c r="D45" s="50" t="s">
        <v>445</v>
      </c>
      <c r="E45" s="50"/>
      <c r="F45" s="50" t="s">
        <v>446</v>
      </c>
      <c r="G45" s="50"/>
      <c r="H45" s="50"/>
    </row>
    <row r="46" spans="1:8" x14ac:dyDescent="0.2">
      <c r="A46" s="45"/>
      <c r="B46" s="48">
        <v>45</v>
      </c>
      <c r="C46" s="50" t="s">
        <v>536</v>
      </c>
      <c r="D46" s="50" t="s">
        <v>537</v>
      </c>
      <c r="E46" s="50" t="s">
        <v>538</v>
      </c>
      <c r="F46" s="50" t="s">
        <v>76</v>
      </c>
      <c r="G46" s="50"/>
      <c r="H46" s="50"/>
    </row>
    <row r="47" spans="1:8" x14ac:dyDescent="0.2">
      <c r="A47" s="45"/>
      <c r="B47" s="48">
        <v>46</v>
      </c>
      <c r="C47" s="50" t="s">
        <v>539</v>
      </c>
      <c r="D47" s="48" t="s">
        <v>477</v>
      </c>
      <c r="E47" s="50"/>
      <c r="F47" s="50" t="s">
        <v>76</v>
      </c>
      <c r="G47" s="50"/>
      <c r="H47" s="50"/>
    </row>
    <row r="48" spans="1:8" x14ac:dyDescent="0.2">
      <c r="A48" s="45"/>
      <c r="B48" s="48">
        <v>47</v>
      </c>
      <c r="C48" s="50" t="s">
        <v>540</v>
      </c>
      <c r="D48" s="48" t="s">
        <v>477</v>
      </c>
      <c r="E48" s="50"/>
      <c r="F48" s="50" t="s">
        <v>76</v>
      </c>
      <c r="G48" s="50"/>
      <c r="H48" s="50"/>
    </row>
    <row r="49" spans="1:8" x14ac:dyDescent="0.2">
      <c r="A49" s="45"/>
      <c r="B49" s="48">
        <v>48</v>
      </c>
      <c r="C49" s="50" t="s">
        <v>541</v>
      </c>
      <c r="D49" s="48" t="s">
        <v>477</v>
      </c>
      <c r="E49" s="50"/>
      <c r="F49" s="50" t="s">
        <v>464</v>
      </c>
      <c r="G49" s="50"/>
      <c r="H49" s="50"/>
    </row>
    <row r="50" spans="1:8" x14ac:dyDescent="0.2">
      <c r="A50" s="45"/>
      <c r="B50" s="48">
        <v>49</v>
      </c>
      <c r="C50" s="50" t="s">
        <v>542</v>
      </c>
      <c r="D50" s="59" t="s">
        <v>543</v>
      </c>
      <c r="E50" s="50" t="s">
        <v>544</v>
      </c>
      <c r="F50" s="50" t="s">
        <v>545</v>
      </c>
      <c r="G50" s="50"/>
      <c r="H50" s="50" t="s">
        <v>546</v>
      </c>
    </row>
    <row r="51" spans="1:8" x14ac:dyDescent="0.2">
      <c r="A51" s="45"/>
      <c r="B51" s="60">
        <v>50</v>
      </c>
      <c r="C51" s="44" t="s">
        <v>547</v>
      </c>
      <c r="D51" s="61" t="s">
        <v>477</v>
      </c>
      <c r="E51" s="61"/>
      <c r="F51" s="61" t="s">
        <v>548</v>
      </c>
      <c r="G51" s="61"/>
      <c r="H51" s="61"/>
    </row>
    <row r="52" spans="1:8" x14ac:dyDescent="0.2">
      <c r="A52" s="45"/>
      <c r="B52" s="52">
        <v>51</v>
      </c>
      <c r="C52" s="50" t="s">
        <v>549</v>
      </c>
      <c r="D52" s="50" t="s">
        <v>470</v>
      </c>
      <c r="E52" s="50" t="s">
        <v>471</v>
      </c>
      <c r="F52" s="50"/>
      <c r="G52" s="50"/>
      <c r="H52" s="50" t="s">
        <v>550</v>
      </c>
    </row>
    <row r="53" spans="1:8" x14ac:dyDescent="0.2">
      <c r="A53" s="45"/>
      <c r="B53" s="60">
        <v>52</v>
      </c>
      <c r="C53" s="62" t="s">
        <v>551</v>
      </c>
      <c r="D53" s="60" t="s">
        <v>477</v>
      </c>
      <c r="E53" s="61"/>
      <c r="F53" s="61" t="s">
        <v>76</v>
      </c>
      <c r="G53" s="62"/>
      <c r="H53" s="62"/>
    </row>
    <row r="54" spans="1:8" x14ac:dyDescent="0.2">
      <c r="A54" s="45"/>
      <c r="B54" s="48">
        <v>53</v>
      </c>
      <c r="C54" s="63" t="s">
        <v>552</v>
      </c>
      <c r="D54" s="63" t="s">
        <v>477</v>
      </c>
      <c r="E54" s="63"/>
      <c r="F54" s="63" t="s">
        <v>25</v>
      </c>
      <c r="G54" s="63"/>
      <c r="H54" s="63"/>
    </row>
    <row r="55" spans="1:8" x14ac:dyDescent="0.2">
      <c r="A55" s="45"/>
      <c r="B55" s="48">
        <v>54</v>
      </c>
      <c r="C55" s="63" t="s">
        <v>553</v>
      </c>
      <c r="D55" s="63" t="s">
        <v>477</v>
      </c>
      <c r="E55" s="63"/>
      <c r="F55" s="63" t="s">
        <v>25</v>
      </c>
      <c r="G55" s="63"/>
      <c r="H55" s="63"/>
    </row>
    <row r="56" spans="1:8" x14ac:dyDescent="0.2">
      <c r="A56" s="45"/>
      <c r="B56" s="48">
        <v>55</v>
      </c>
      <c r="C56" s="63" t="s">
        <v>554</v>
      </c>
      <c r="D56" s="63" t="s">
        <v>477</v>
      </c>
      <c r="E56" s="63"/>
      <c r="F56" s="63" t="s">
        <v>25</v>
      </c>
      <c r="G56" s="63"/>
      <c r="H56" s="63"/>
    </row>
    <row r="57" spans="1:8" x14ac:dyDescent="0.2">
      <c r="A57" s="45"/>
      <c r="B57" s="60">
        <v>56</v>
      </c>
      <c r="C57" s="62" t="s">
        <v>555</v>
      </c>
      <c r="D57" s="62" t="s">
        <v>556</v>
      </c>
      <c r="E57" s="62" t="s">
        <v>557</v>
      </c>
      <c r="G57" s="62"/>
      <c r="H57" s="62" t="s">
        <v>558</v>
      </c>
    </row>
    <row r="58" spans="1:8" x14ac:dyDescent="0.2">
      <c r="A58" s="45"/>
      <c r="B58" s="60">
        <v>57</v>
      </c>
      <c r="C58" s="62" t="s">
        <v>559</v>
      </c>
      <c r="D58" s="62" t="s">
        <v>477</v>
      </c>
      <c r="E58" s="62"/>
      <c r="F58" s="62" t="s">
        <v>25</v>
      </c>
      <c r="G58" s="62"/>
      <c r="H58" s="62"/>
    </row>
    <row r="59" spans="1:8" x14ac:dyDescent="0.2">
      <c r="A59" s="45"/>
      <c r="B59" s="60">
        <v>58</v>
      </c>
      <c r="C59" s="62" t="s">
        <v>560</v>
      </c>
      <c r="D59" s="62" t="s">
        <v>477</v>
      </c>
      <c r="E59" s="62"/>
      <c r="F59" s="62" t="s">
        <v>25</v>
      </c>
      <c r="G59" s="62"/>
      <c r="H59" s="62"/>
    </row>
    <row r="60" spans="1:8" x14ac:dyDescent="0.2">
      <c r="A60" s="45"/>
      <c r="B60" s="60">
        <v>59</v>
      </c>
      <c r="C60" s="62" t="s">
        <v>561</v>
      </c>
      <c r="D60" s="62" t="s">
        <v>477</v>
      </c>
      <c r="E60" s="62"/>
      <c r="F60" s="62" t="s">
        <v>25</v>
      </c>
      <c r="G60" s="62"/>
      <c r="H60" s="62"/>
    </row>
    <row r="61" spans="1:8" x14ac:dyDescent="0.2">
      <c r="A61" s="45"/>
      <c r="B61" s="60">
        <v>60</v>
      </c>
      <c r="C61" s="62" t="s">
        <v>562</v>
      </c>
      <c r="D61" s="62" t="s">
        <v>477</v>
      </c>
      <c r="E61" s="62"/>
      <c r="F61" s="62" t="s">
        <v>25</v>
      </c>
      <c r="G61" s="62"/>
      <c r="H61" s="62"/>
    </row>
    <row r="62" spans="1:8" x14ac:dyDescent="0.2">
      <c r="A62" s="45"/>
      <c r="B62" s="60">
        <v>61</v>
      </c>
      <c r="C62" s="62" t="s">
        <v>563</v>
      </c>
      <c r="D62" s="62" t="s">
        <v>477</v>
      </c>
      <c r="E62" s="62"/>
      <c r="F62" s="62" t="s">
        <v>25</v>
      </c>
      <c r="G62" s="62"/>
      <c r="H62" s="62"/>
    </row>
    <row r="63" spans="1:8" x14ac:dyDescent="0.2">
      <c r="A63" s="45"/>
      <c r="B63" s="60">
        <v>62</v>
      </c>
      <c r="C63" s="62" t="s">
        <v>564</v>
      </c>
      <c r="D63" s="50" t="s">
        <v>565</v>
      </c>
      <c r="E63" s="50" t="s">
        <v>566</v>
      </c>
      <c r="F63" s="50" t="s">
        <v>76</v>
      </c>
      <c r="G63" s="50"/>
      <c r="H63" s="50" t="s">
        <v>567</v>
      </c>
    </row>
    <row r="64" spans="1:8" x14ac:dyDescent="0.2">
      <c r="A64" s="45"/>
      <c r="B64" s="60">
        <v>63</v>
      </c>
      <c r="C64" s="62" t="s">
        <v>568</v>
      </c>
      <c r="D64" s="62" t="s">
        <v>477</v>
      </c>
      <c r="E64" s="62"/>
      <c r="F64" s="62" t="s">
        <v>76</v>
      </c>
      <c r="G64" s="62"/>
      <c r="H64" s="62" t="s">
        <v>569</v>
      </c>
    </row>
    <row r="65" spans="1:8" x14ac:dyDescent="0.2">
      <c r="A65" s="45"/>
      <c r="B65" s="60">
        <v>64</v>
      </c>
      <c r="C65" s="62" t="s">
        <v>570</v>
      </c>
      <c r="D65" s="62" t="s">
        <v>477</v>
      </c>
      <c r="E65" s="62"/>
      <c r="F65" s="62" t="s">
        <v>25</v>
      </c>
      <c r="G65" s="62"/>
      <c r="H65" s="62"/>
    </row>
    <row r="66" spans="1:8" x14ac:dyDescent="0.2">
      <c r="A66" s="45"/>
      <c r="B66" s="60">
        <v>65</v>
      </c>
      <c r="C66" s="62" t="s">
        <v>571</v>
      </c>
      <c r="D66" s="62" t="s">
        <v>477</v>
      </c>
      <c r="E66" s="62"/>
      <c r="F66" s="62" t="s">
        <v>25</v>
      </c>
      <c r="G66" s="62"/>
      <c r="H66" s="62"/>
    </row>
    <row r="67" spans="1:8" x14ac:dyDescent="0.2">
      <c r="A67" s="45"/>
      <c r="B67" s="60">
        <v>66</v>
      </c>
      <c r="C67" s="62" t="s">
        <v>572</v>
      </c>
      <c r="D67" s="62" t="s">
        <v>477</v>
      </c>
      <c r="E67" s="62"/>
      <c r="F67" s="62" t="s">
        <v>25</v>
      </c>
      <c r="G67" s="62"/>
      <c r="H67" s="62"/>
    </row>
    <row r="68" spans="1:8" x14ac:dyDescent="0.2">
      <c r="A68" s="45"/>
      <c r="B68" s="60">
        <v>67</v>
      </c>
      <c r="C68" s="62" t="s">
        <v>573</v>
      </c>
      <c r="D68" s="62" t="s">
        <v>477</v>
      </c>
      <c r="E68" s="62"/>
      <c r="F68" s="62" t="s">
        <v>25</v>
      </c>
      <c r="G68" s="62"/>
      <c r="H68" s="62"/>
    </row>
    <row r="69" spans="1:8" x14ac:dyDescent="0.2">
      <c r="A69" s="45"/>
      <c r="B69" s="60">
        <v>68</v>
      </c>
      <c r="C69" s="62" t="s">
        <v>574</v>
      </c>
      <c r="D69" s="62" t="s">
        <v>477</v>
      </c>
      <c r="E69" s="62"/>
      <c r="F69" s="62" t="s">
        <v>76</v>
      </c>
      <c r="G69" s="62"/>
      <c r="H69" s="62"/>
    </row>
    <row r="70" spans="1:8" x14ac:dyDescent="0.2">
      <c r="A70" s="45"/>
      <c r="B70" s="60">
        <v>69</v>
      </c>
      <c r="C70" s="62" t="s">
        <v>575</v>
      </c>
      <c r="D70" s="62" t="s">
        <v>445</v>
      </c>
      <c r="E70" s="62"/>
      <c r="F70" s="62"/>
      <c r="G70" s="62"/>
      <c r="H70" s="62"/>
    </row>
    <row r="71" spans="1:8" x14ac:dyDescent="0.2">
      <c r="A71" s="45"/>
      <c r="B71" s="60">
        <v>70</v>
      </c>
      <c r="C71" s="62" t="s">
        <v>576</v>
      </c>
      <c r="D71" s="60" t="s">
        <v>477</v>
      </c>
      <c r="E71" s="62"/>
      <c r="F71" s="62" t="s">
        <v>76</v>
      </c>
      <c r="G71" s="62"/>
      <c r="H71" s="62" t="s">
        <v>577</v>
      </c>
    </row>
    <row r="72" spans="1:8" x14ac:dyDescent="0.2">
      <c r="A72" s="45"/>
      <c r="B72" s="48">
        <v>71</v>
      </c>
      <c r="C72" s="63" t="s">
        <v>578</v>
      </c>
      <c r="D72" s="63" t="s">
        <v>477</v>
      </c>
      <c r="E72" s="63"/>
      <c r="F72" s="63" t="s">
        <v>76</v>
      </c>
      <c r="G72" s="63"/>
      <c r="H72" s="63"/>
    </row>
    <row r="73" spans="1:8" x14ac:dyDescent="0.2">
      <c r="A73" s="45"/>
      <c r="B73" s="60">
        <v>72</v>
      </c>
      <c r="C73" s="62" t="s">
        <v>579</v>
      </c>
      <c r="D73" s="62" t="s">
        <v>477</v>
      </c>
      <c r="E73" s="62"/>
      <c r="F73" s="62" t="s">
        <v>76</v>
      </c>
      <c r="G73" s="62"/>
      <c r="H73" s="62"/>
    </row>
    <row r="74" spans="1:8" x14ac:dyDescent="0.2">
      <c r="A74" s="45"/>
      <c r="B74" s="60">
        <v>73</v>
      </c>
      <c r="C74" s="64" t="s">
        <v>580</v>
      </c>
      <c r="D74" s="62" t="s">
        <v>477</v>
      </c>
      <c r="E74" s="62"/>
      <c r="F74" s="62" t="s">
        <v>76</v>
      </c>
      <c r="G74" s="62"/>
      <c r="H74" s="62"/>
    </row>
    <row r="75" spans="1:8" x14ac:dyDescent="0.2">
      <c r="B75" s="60">
        <v>74</v>
      </c>
      <c r="C75" s="62" t="s">
        <v>581</v>
      </c>
      <c r="D75" s="62" t="s">
        <v>477</v>
      </c>
      <c r="E75" s="62"/>
      <c r="F75" s="62" t="s">
        <v>76</v>
      </c>
      <c r="G75" s="62"/>
      <c r="H75" s="62"/>
    </row>
    <row r="76" spans="1:8" x14ac:dyDescent="0.2">
      <c r="B76" s="60">
        <v>75</v>
      </c>
      <c r="C76" s="62" t="s">
        <v>582</v>
      </c>
      <c r="D76" s="62" t="s">
        <v>477</v>
      </c>
      <c r="E76" s="62"/>
      <c r="F76" s="62" t="s">
        <v>76</v>
      </c>
      <c r="G76" s="62"/>
      <c r="H76" s="62"/>
    </row>
    <row r="77" spans="1:8" x14ac:dyDescent="0.2">
      <c r="B77" s="60">
        <v>76</v>
      </c>
      <c r="C77" s="62" t="s">
        <v>583</v>
      </c>
      <c r="D77" s="62" t="s">
        <v>477</v>
      </c>
      <c r="E77" s="62"/>
      <c r="F77" s="62" t="s">
        <v>76</v>
      </c>
      <c r="G77" s="62"/>
      <c r="H77" s="62"/>
    </row>
  </sheetData>
  <pageMargins left="0.70833333333333304" right="0.70833333333333304" top="0.74791666666666701" bottom="0.74791666666666701" header="0.511811023622047" footer="0.511811023622047"/>
  <pageSetup paperSize="9" scale="20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4"/>
  <sheetViews>
    <sheetView showGridLines="0" zoomScaleNormal="100" workbookViewId="0"/>
  </sheetViews>
  <sheetFormatPr defaultColWidth="8.7109375" defaultRowHeight="15" x14ac:dyDescent="0.25"/>
  <cols>
    <col min="1" max="1" width="66.140625" customWidth="1"/>
    <col min="2" max="2" width="19.5703125" style="65" customWidth="1"/>
    <col min="3" max="4" width="18.140625" style="65" customWidth="1"/>
    <col min="5" max="5" width="13.28515625" style="65" customWidth="1"/>
    <col min="6" max="6" width="15.5703125" customWidth="1"/>
    <col min="7" max="7" width="25" customWidth="1"/>
    <col min="8" max="8" width="14.28515625" style="65" customWidth="1"/>
    <col min="9" max="9" width="13.28515625" customWidth="1"/>
    <col min="10" max="10" width="34.85546875" customWidth="1"/>
    <col min="11" max="11" width="14.28515625" customWidth="1"/>
    <col min="12" max="12" width="12.42578125" customWidth="1"/>
    <col min="13" max="13" width="14.140625" customWidth="1"/>
    <col min="14" max="14" width="6" customWidth="1"/>
    <col min="15" max="15" width="11" customWidth="1"/>
    <col min="16" max="16" width="15.5703125" customWidth="1"/>
    <col min="17" max="17" width="51.140625" style="65" customWidth="1"/>
    <col min="18" max="18" width="9.140625" customWidth="1"/>
    <col min="19" max="19" width="16.7109375" customWidth="1"/>
    <col min="20" max="20" width="21.85546875" customWidth="1"/>
  </cols>
  <sheetData>
    <row r="1" spans="1:18" x14ac:dyDescent="0.25">
      <c r="A1" s="66" t="s">
        <v>7</v>
      </c>
      <c r="B1" s="67" t="s">
        <v>584</v>
      </c>
      <c r="C1"/>
      <c r="D1"/>
      <c r="E1"/>
      <c r="F1" s="4" t="s">
        <v>585</v>
      </c>
      <c r="G1" s="4"/>
      <c r="H1" s="4"/>
      <c r="I1" s="4"/>
      <c r="J1" s="4"/>
      <c r="K1" s="4"/>
    </row>
    <row r="2" spans="1:18" x14ac:dyDescent="0.25">
      <c r="A2" s="66" t="s">
        <v>1</v>
      </c>
      <c r="B2" s="67" t="s">
        <v>584</v>
      </c>
      <c r="C2"/>
      <c r="D2"/>
      <c r="E2"/>
      <c r="O2" s="66" t="s">
        <v>7</v>
      </c>
      <c r="P2" s="67" t="s">
        <v>584</v>
      </c>
    </row>
    <row r="3" spans="1:18" x14ac:dyDescent="0.25">
      <c r="B3"/>
      <c r="C3"/>
      <c r="D3"/>
      <c r="E3"/>
      <c r="F3" s="68" t="s">
        <v>586</v>
      </c>
      <c r="G3" s="69" t="s">
        <v>2</v>
      </c>
      <c r="H3" s="70"/>
      <c r="I3" s="70"/>
      <c r="J3" s="70"/>
      <c r="K3" s="70"/>
      <c r="L3" s="71"/>
      <c r="O3" s="66" t="s">
        <v>1</v>
      </c>
      <c r="P3" s="67" t="s">
        <v>584</v>
      </c>
    </row>
    <row r="4" spans="1:18" x14ac:dyDescent="0.25">
      <c r="A4" s="68" t="s">
        <v>586</v>
      </c>
      <c r="B4" s="69" t="s">
        <v>587</v>
      </c>
      <c r="C4" s="70"/>
      <c r="D4" s="70"/>
      <c r="E4" s="71"/>
      <c r="F4" s="72" t="s">
        <v>1</v>
      </c>
      <c r="G4" s="73" t="s">
        <v>461</v>
      </c>
      <c r="H4" s="74" t="s">
        <v>490</v>
      </c>
      <c r="I4" s="74" t="s">
        <v>481</v>
      </c>
      <c r="J4" s="74" t="s">
        <v>536</v>
      </c>
      <c r="K4" s="74" t="s">
        <v>588</v>
      </c>
      <c r="L4" s="75" t="s">
        <v>589</v>
      </c>
    </row>
    <row r="5" spans="1:18" x14ac:dyDescent="0.25">
      <c r="A5" s="72" t="s">
        <v>2</v>
      </c>
      <c r="B5" s="73" t="s">
        <v>590</v>
      </c>
      <c r="C5" s="74" t="s">
        <v>591</v>
      </c>
      <c r="D5" s="74" t="s">
        <v>592</v>
      </c>
      <c r="E5" s="76" t="s">
        <v>593</v>
      </c>
      <c r="F5" s="77" t="s">
        <v>591</v>
      </c>
      <c r="G5" s="78"/>
      <c r="H5" s="79"/>
      <c r="I5" s="79"/>
      <c r="J5" s="79"/>
      <c r="K5" s="80"/>
      <c r="L5" s="81"/>
      <c r="O5" s="82" t="s">
        <v>2</v>
      </c>
      <c r="P5" s="83"/>
      <c r="R5" s="84"/>
    </row>
    <row r="6" spans="1:18" x14ac:dyDescent="0.25">
      <c r="A6" s="85" t="s">
        <v>551</v>
      </c>
      <c r="B6" s="78"/>
      <c r="C6" s="79"/>
      <c r="D6" s="79"/>
      <c r="E6" s="86">
        <v>181750</v>
      </c>
      <c r="F6" s="87">
        <v>45659</v>
      </c>
      <c r="G6" s="88">
        <v>9323.41</v>
      </c>
      <c r="H6" s="89"/>
      <c r="I6" s="89"/>
      <c r="J6" s="89"/>
      <c r="K6" s="90"/>
      <c r="L6" s="91">
        <v>9323.41</v>
      </c>
      <c r="O6" s="92"/>
      <c r="P6" s="93"/>
      <c r="R6" s="94" t="e">
        <f t="shared" ref="R6:R27" si="0">P6/GETPIVOTDATA("DÉBITO",$O$5)</f>
        <v>#REF!</v>
      </c>
    </row>
    <row r="7" spans="1:18" x14ac:dyDescent="0.25">
      <c r="A7" s="95" t="s">
        <v>473</v>
      </c>
      <c r="B7" s="88">
        <v>3392.45</v>
      </c>
      <c r="C7" s="89"/>
      <c r="D7" s="89"/>
      <c r="E7" s="96"/>
      <c r="F7" s="87">
        <v>45660</v>
      </c>
      <c r="G7" s="88">
        <v>1439.58</v>
      </c>
      <c r="H7" s="89"/>
      <c r="I7" s="89"/>
      <c r="J7" s="89"/>
      <c r="K7" s="90"/>
      <c r="L7" s="91">
        <v>1439.58</v>
      </c>
      <c r="R7" s="94" t="e">
        <f t="shared" si="0"/>
        <v>#REF!</v>
      </c>
    </row>
    <row r="8" spans="1:18" x14ac:dyDescent="0.25">
      <c r="A8" s="95" t="s">
        <v>485</v>
      </c>
      <c r="B8" s="88">
        <v>238.7</v>
      </c>
      <c r="C8" s="89"/>
      <c r="D8" s="97">
        <v>10</v>
      </c>
      <c r="E8" s="96"/>
      <c r="F8" s="87">
        <v>45667</v>
      </c>
      <c r="G8" s="98"/>
      <c r="H8" s="89"/>
      <c r="I8" s="89"/>
      <c r="J8" s="97">
        <v>4120.2</v>
      </c>
      <c r="K8" s="90"/>
      <c r="L8" s="91">
        <v>4120.2</v>
      </c>
      <c r="R8" s="94" t="e">
        <f t="shared" si="0"/>
        <v>#REF!</v>
      </c>
    </row>
    <row r="9" spans="1:18" x14ac:dyDescent="0.25">
      <c r="A9" s="95" t="s">
        <v>465</v>
      </c>
      <c r="B9" s="88">
        <v>14100</v>
      </c>
      <c r="C9" s="89"/>
      <c r="D9" s="89"/>
      <c r="E9" s="96"/>
      <c r="F9" s="87">
        <v>45674</v>
      </c>
      <c r="G9" s="98"/>
      <c r="H9" s="97">
        <v>469426.55</v>
      </c>
      <c r="I9" s="97">
        <v>57902.97</v>
      </c>
      <c r="J9" s="89"/>
      <c r="K9" s="90"/>
      <c r="L9" s="91">
        <v>527329.52</v>
      </c>
      <c r="N9" s="65"/>
      <c r="R9" s="94" t="e">
        <f t="shared" si="0"/>
        <v>#REF!</v>
      </c>
    </row>
    <row r="10" spans="1:18" x14ac:dyDescent="0.25">
      <c r="A10" s="95" t="s">
        <v>522</v>
      </c>
      <c r="B10" s="88">
        <v>2003.75</v>
      </c>
      <c r="C10" s="89"/>
      <c r="D10" s="89"/>
      <c r="E10" s="96"/>
      <c r="F10" s="87">
        <v>45687</v>
      </c>
      <c r="G10" s="88">
        <v>116306.45</v>
      </c>
      <c r="H10" s="89"/>
      <c r="I10" s="89"/>
      <c r="J10" s="89"/>
      <c r="K10" s="90"/>
      <c r="L10" s="91">
        <v>116306.45</v>
      </c>
      <c r="N10" s="65"/>
      <c r="R10" s="94" t="e">
        <f t="shared" si="0"/>
        <v>#REF!</v>
      </c>
    </row>
    <row r="11" spans="1:18" x14ac:dyDescent="0.25">
      <c r="A11" s="95" t="s">
        <v>564</v>
      </c>
      <c r="B11" s="88">
        <v>1553</v>
      </c>
      <c r="C11" s="89"/>
      <c r="D11" s="89"/>
      <c r="E11" s="96"/>
      <c r="F11" s="87">
        <v>45691</v>
      </c>
      <c r="G11" s="88">
        <v>3665.94</v>
      </c>
      <c r="H11" s="89"/>
      <c r="I11" s="89"/>
      <c r="J11" s="89"/>
      <c r="K11" s="90"/>
      <c r="L11" s="91">
        <v>3665.94</v>
      </c>
      <c r="N11" s="65"/>
      <c r="R11" s="94" t="e">
        <f t="shared" si="0"/>
        <v>#REF!</v>
      </c>
    </row>
    <row r="12" spans="1:18" x14ac:dyDescent="0.25">
      <c r="A12" s="95" t="s">
        <v>536</v>
      </c>
      <c r="B12" s="88">
        <v>31588.2</v>
      </c>
      <c r="C12" s="89"/>
      <c r="D12" s="89"/>
      <c r="E12" s="96"/>
      <c r="F12" s="87">
        <v>45692</v>
      </c>
      <c r="G12" s="88">
        <v>441.75</v>
      </c>
      <c r="H12" s="89"/>
      <c r="I12" s="89"/>
      <c r="J12" s="89"/>
      <c r="K12" s="90"/>
      <c r="L12" s="91">
        <v>441.75</v>
      </c>
      <c r="N12" s="65"/>
      <c r="R12" s="94" t="e">
        <f t="shared" si="0"/>
        <v>#REF!</v>
      </c>
    </row>
    <row r="13" spans="1:18" x14ac:dyDescent="0.25">
      <c r="A13" s="95" t="s">
        <v>588</v>
      </c>
      <c r="B13" s="99"/>
      <c r="C13" s="100"/>
      <c r="D13" s="100"/>
      <c r="E13" s="101"/>
      <c r="F13" s="87">
        <v>45699</v>
      </c>
      <c r="G13" s="98"/>
      <c r="H13" s="89"/>
      <c r="I13" s="89"/>
      <c r="J13" s="97">
        <v>26835.8</v>
      </c>
      <c r="K13" s="90"/>
      <c r="L13" s="91">
        <v>26835.8</v>
      </c>
      <c r="N13" s="65"/>
      <c r="R13" s="94" t="e">
        <f t="shared" si="0"/>
        <v>#REF!</v>
      </c>
    </row>
    <row r="14" spans="1:18" x14ac:dyDescent="0.25">
      <c r="A14" s="102" t="s">
        <v>589</v>
      </c>
      <c r="B14" s="103">
        <v>52876.1</v>
      </c>
      <c r="C14" s="104"/>
      <c r="D14" s="105">
        <v>10</v>
      </c>
      <c r="E14" s="106">
        <v>181750</v>
      </c>
      <c r="F14" s="87">
        <v>45707</v>
      </c>
      <c r="G14" s="98"/>
      <c r="H14" s="97">
        <v>350605.64</v>
      </c>
      <c r="I14" s="97">
        <v>48051.43</v>
      </c>
      <c r="J14" s="89"/>
      <c r="K14" s="90"/>
      <c r="L14" s="91">
        <v>398657.07</v>
      </c>
      <c r="N14" s="65"/>
      <c r="R14" s="94" t="e">
        <f t="shared" si="0"/>
        <v>#REF!</v>
      </c>
    </row>
    <row r="15" spans="1:18" x14ac:dyDescent="0.25">
      <c r="F15" s="87">
        <v>45712</v>
      </c>
      <c r="G15" s="88">
        <v>2759.61</v>
      </c>
      <c r="H15" s="89"/>
      <c r="I15" s="89"/>
      <c r="J15" s="89"/>
      <c r="K15" s="90"/>
      <c r="L15" s="91">
        <v>2759.61</v>
      </c>
      <c r="N15" s="65"/>
      <c r="R15" s="94" t="e">
        <f t="shared" si="0"/>
        <v>#REF!</v>
      </c>
    </row>
    <row r="16" spans="1:18" x14ac:dyDescent="0.25">
      <c r="F16" s="87">
        <v>45715</v>
      </c>
      <c r="G16" s="88">
        <v>330566.15999999997</v>
      </c>
      <c r="H16" s="89"/>
      <c r="I16" s="89"/>
      <c r="J16" s="89"/>
      <c r="K16" s="90"/>
      <c r="L16" s="91">
        <v>330566.15999999997</v>
      </c>
      <c r="N16" s="65"/>
      <c r="R16" s="94" t="e">
        <f t="shared" si="0"/>
        <v>#REF!</v>
      </c>
    </row>
    <row r="17" spans="6:18" x14ac:dyDescent="0.25">
      <c r="F17" s="87">
        <v>45716</v>
      </c>
      <c r="G17" s="99"/>
      <c r="H17" s="100"/>
      <c r="I17" s="100"/>
      <c r="J17" s="107">
        <v>632.20000000000005</v>
      </c>
      <c r="K17" s="108"/>
      <c r="L17" s="109">
        <v>632.20000000000005</v>
      </c>
      <c r="N17" s="65"/>
      <c r="R17" s="94" t="e">
        <f t="shared" si="0"/>
        <v>#REF!</v>
      </c>
    </row>
    <row r="18" spans="6:18" x14ac:dyDescent="0.25">
      <c r="F18" s="110" t="s">
        <v>589</v>
      </c>
      <c r="G18" s="103">
        <v>464502.9</v>
      </c>
      <c r="H18" s="105">
        <v>820032.19</v>
      </c>
      <c r="I18" s="105">
        <v>105954.4</v>
      </c>
      <c r="J18" s="105">
        <v>31588.2</v>
      </c>
      <c r="K18" s="111"/>
      <c r="L18" s="112">
        <v>1422077.69</v>
      </c>
      <c r="R18" s="94" t="e">
        <f t="shared" si="0"/>
        <v>#REF!</v>
      </c>
    </row>
    <row r="19" spans="6:18" x14ac:dyDescent="0.25">
      <c r="R19" s="94" t="e">
        <f t="shared" si="0"/>
        <v>#REF!</v>
      </c>
    </row>
    <row r="20" spans="6:18" x14ac:dyDescent="0.25">
      <c r="R20" s="94" t="e">
        <f t="shared" si="0"/>
        <v>#REF!</v>
      </c>
    </row>
    <row r="21" spans="6:18" x14ac:dyDescent="0.25">
      <c r="R21" s="94" t="e">
        <f t="shared" si="0"/>
        <v>#REF!</v>
      </c>
    </row>
    <row r="22" spans="6:18" x14ac:dyDescent="0.25">
      <c r="R22" s="94" t="e">
        <f t="shared" si="0"/>
        <v>#REF!</v>
      </c>
    </row>
    <row r="23" spans="6:18" x14ac:dyDescent="0.25">
      <c r="R23" s="94" t="e">
        <f t="shared" si="0"/>
        <v>#REF!</v>
      </c>
    </row>
    <row r="24" spans="6:18" x14ac:dyDescent="0.25">
      <c r="R24" s="94" t="e">
        <f t="shared" si="0"/>
        <v>#REF!</v>
      </c>
    </row>
    <row r="25" spans="6:18" x14ac:dyDescent="0.25">
      <c r="R25" s="94" t="e">
        <f t="shared" si="0"/>
        <v>#REF!</v>
      </c>
    </row>
    <row r="26" spans="6:18" x14ac:dyDescent="0.25">
      <c r="R26" s="94" t="e">
        <f t="shared" si="0"/>
        <v>#REF!</v>
      </c>
    </row>
    <row r="27" spans="6:18" x14ac:dyDescent="0.25">
      <c r="R27" s="94" t="e">
        <f t="shared" si="0"/>
        <v>#REF!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90" spans="1:4" x14ac:dyDescent="0.25">
      <c r="A90" s="113" t="s">
        <v>514</v>
      </c>
      <c r="B90" s="114">
        <v>60000</v>
      </c>
      <c r="C90" s="114"/>
      <c r="D90" s="114"/>
    </row>
    <row r="91" spans="1:4" x14ac:dyDescent="0.25">
      <c r="A91" s="113" t="s">
        <v>551</v>
      </c>
      <c r="B91" s="114">
        <v>13720</v>
      </c>
      <c r="C91" s="114">
        <v>100000</v>
      </c>
      <c r="D91" s="114">
        <v>60000</v>
      </c>
    </row>
    <row r="92" spans="1:4" x14ac:dyDescent="0.25">
      <c r="A92" s="113" t="s">
        <v>473</v>
      </c>
      <c r="B92" s="114">
        <f>3600*12</f>
        <v>43200</v>
      </c>
      <c r="C92" s="114"/>
      <c r="D92" s="114"/>
    </row>
    <row r="93" spans="1:4" x14ac:dyDescent="0.25">
      <c r="A93" s="113" t="s">
        <v>485</v>
      </c>
      <c r="B93" s="114">
        <v>500</v>
      </c>
      <c r="C93" s="114"/>
      <c r="D93" s="114"/>
    </row>
    <row r="94" spans="1:4" x14ac:dyDescent="0.25">
      <c r="A94" s="113" t="s">
        <v>465</v>
      </c>
      <c r="B94" s="114">
        <v>50000</v>
      </c>
      <c r="C94" s="114"/>
      <c r="D94" s="114"/>
    </row>
    <row r="95" spans="1:4" x14ac:dyDescent="0.25">
      <c r="A95" s="113" t="s">
        <v>516</v>
      </c>
      <c r="B95" s="114">
        <f>101000-69000+51000</f>
        <v>83000</v>
      </c>
      <c r="C95" s="114"/>
      <c r="D95" s="114"/>
    </row>
    <row r="96" spans="1:4" x14ac:dyDescent="0.25">
      <c r="A96" s="113" t="s">
        <v>522</v>
      </c>
      <c r="B96" s="114">
        <v>30000</v>
      </c>
      <c r="C96" s="114"/>
      <c r="D96" s="114"/>
    </row>
    <row r="97" spans="1:4" x14ac:dyDescent="0.25">
      <c r="A97" s="113" t="s">
        <v>541</v>
      </c>
      <c r="B97" s="114">
        <v>1000</v>
      </c>
      <c r="C97" s="114"/>
      <c r="D97" s="114"/>
    </row>
    <row r="98" spans="1:4" x14ac:dyDescent="0.25">
      <c r="A98" s="113" t="s">
        <v>564</v>
      </c>
      <c r="B98" s="114">
        <v>13000</v>
      </c>
      <c r="C98" s="114"/>
      <c r="D98" s="114"/>
    </row>
    <row r="99" spans="1:4" x14ac:dyDescent="0.25">
      <c r="A99" s="113" t="s">
        <v>507</v>
      </c>
      <c r="B99" s="114">
        <f>248.77*12</f>
        <v>2985.2400000000002</v>
      </c>
      <c r="C99" s="114"/>
      <c r="D99" s="114"/>
    </row>
    <row r="100" spans="1:4" x14ac:dyDescent="0.25">
      <c r="A100" s="113" t="s">
        <v>496</v>
      </c>
      <c r="B100" s="114">
        <v>1000</v>
      </c>
      <c r="C100" s="114"/>
      <c r="D100" s="114"/>
    </row>
    <row r="101" spans="1:4" x14ac:dyDescent="0.25">
      <c r="A101" s="113" t="s">
        <v>594</v>
      </c>
      <c r="B101" s="114">
        <v>1500</v>
      </c>
      <c r="C101" s="67"/>
      <c r="D101" s="67"/>
    </row>
    <row r="113" spans="8:8" customFormat="1" x14ac:dyDescent="0.25">
      <c r="H113" s="65"/>
    </row>
    <row r="114" spans="8:8" customFormat="1" x14ac:dyDescent="0.25">
      <c r="H114" s="65"/>
    </row>
    <row r="115" spans="8:8" customFormat="1" x14ac:dyDescent="0.25">
      <c r="H115" s="65"/>
    </row>
    <row r="116" spans="8:8" customFormat="1" x14ac:dyDescent="0.25">
      <c r="H116" s="65"/>
    </row>
    <row r="117" spans="8:8" customFormat="1" x14ac:dyDescent="0.25">
      <c r="H117" s="65"/>
    </row>
    <row r="118" spans="8:8" customFormat="1" x14ac:dyDescent="0.25">
      <c r="H118" s="65"/>
    </row>
    <row r="119" spans="8:8" customFormat="1" x14ac:dyDescent="0.25">
      <c r="H119" s="65"/>
    </row>
    <row r="120" spans="8:8" customFormat="1" x14ac:dyDescent="0.25">
      <c r="H120" s="65"/>
    </row>
    <row r="121" spans="8:8" customFormat="1" x14ac:dyDescent="0.25">
      <c r="H121" s="65"/>
    </row>
    <row r="122" spans="8:8" customFormat="1" x14ac:dyDescent="0.25">
      <c r="H122" s="65"/>
    </row>
    <row r="123" spans="8:8" customFormat="1" x14ac:dyDescent="0.25">
      <c r="H123" s="65"/>
    </row>
    <row r="124" spans="8:8" customFormat="1" x14ac:dyDescent="0.25">
      <c r="H124" s="65"/>
    </row>
    <row r="125" spans="8:8" customFormat="1" x14ac:dyDescent="0.25">
      <c r="H125" s="65"/>
    </row>
    <row r="126" spans="8:8" customFormat="1" x14ac:dyDescent="0.25">
      <c r="H126" s="65"/>
    </row>
    <row r="127" spans="8:8" customFormat="1" x14ac:dyDescent="0.25">
      <c r="H127" s="65"/>
    </row>
    <row r="128" spans="8:8" customFormat="1" x14ac:dyDescent="0.25">
      <c r="H128" s="65"/>
    </row>
    <row r="129" spans="8:8" customFormat="1" x14ac:dyDescent="0.25">
      <c r="H129" s="65"/>
    </row>
    <row r="130" spans="8:8" customFormat="1" x14ac:dyDescent="0.25">
      <c r="H130" s="65"/>
    </row>
    <row r="131" spans="8:8" customFormat="1" x14ac:dyDescent="0.25">
      <c r="H131" s="65"/>
    </row>
    <row r="132" spans="8:8" customFormat="1" x14ac:dyDescent="0.25">
      <c r="H132" s="65"/>
    </row>
    <row r="133" spans="8:8" customFormat="1" x14ac:dyDescent="0.25">
      <c r="H133" s="65"/>
    </row>
    <row r="134" spans="8:8" customFormat="1" x14ac:dyDescent="0.25">
      <c r="H134" s="65"/>
    </row>
    <row r="135" spans="8:8" customFormat="1" x14ac:dyDescent="0.25">
      <c r="H135" s="65"/>
    </row>
    <row r="136" spans="8:8" customFormat="1" x14ac:dyDescent="0.25">
      <c r="H136" s="65"/>
    </row>
    <row r="137" spans="8:8" customFormat="1" x14ac:dyDescent="0.25">
      <c r="H137" s="65"/>
    </row>
    <row r="138" spans="8:8" customFormat="1" x14ac:dyDescent="0.25">
      <c r="H138" s="65"/>
    </row>
    <row r="139" spans="8:8" customFormat="1" x14ac:dyDescent="0.25">
      <c r="H139" s="65"/>
    </row>
    <row r="140" spans="8:8" customFormat="1" x14ac:dyDescent="0.25">
      <c r="H140" s="65"/>
    </row>
    <row r="141" spans="8:8" customFormat="1" x14ac:dyDescent="0.25">
      <c r="H141" s="65"/>
    </row>
    <row r="142" spans="8:8" customFormat="1" x14ac:dyDescent="0.25">
      <c r="H142" s="65"/>
    </row>
    <row r="143" spans="8:8" customFormat="1" x14ac:dyDescent="0.25">
      <c r="H143" s="65"/>
    </row>
    <row r="144" spans="8:8" customFormat="1" x14ac:dyDescent="0.25">
      <c r="H144" s="65"/>
    </row>
  </sheetData>
  <mergeCells count="1">
    <mergeCell ref="F1:K1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showGridLines="0" tabSelected="1" zoomScaleNormal="100" workbookViewId="0">
      <pane ySplit="1" topLeftCell="A2" activePane="bottomLeft" state="frozen"/>
      <selection pane="bottomLeft" activeCell="L15" sqref="L15:L67"/>
    </sheetView>
  </sheetViews>
  <sheetFormatPr defaultColWidth="9.140625" defaultRowHeight="11.25" x14ac:dyDescent="0.25"/>
  <cols>
    <col min="1" max="1" width="7.140625" style="115" customWidth="1"/>
    <col min="2" max="2" width="11.28515625" style="115" customWidth="1"/>
    <col min="3" max="3" width="14.5703125" style="116" customWidth="1"/>
    <col min="4" max="4" width="10.5703125" style="115" customWidth="1"/>
    <col min="5" max="5" width="35.140625" style="115" customWidth="1"/>
    <col min="6" max="6" width="31.85546875" style="115" customWidth="1"/>
    <col min="7" max="7" width="20.5703125" style="115" customWidth="1"/>
    <col min="8" max="8" width="14.42578125" style="115" customWidth="1"/>
    <col min="9" max="9" width="11" style="117" customWidth="1"/>
    <col min="10" max="10" width="39.7109375" style="115" customWidth="1"/>
    <col min="11" max="11" width="13.7109375" style="115" customWidth="1"/>
    <col min="12" max="12" width="13.28515625" style="118" customWidth="1"/>
    <col min="13" max="13" width="14.140625" style="115" customWidth="1"/>
    <col min="14" max="14" width="2.42578125" style="119" customWidth="1"/>
    <col min="15" max="15" width="14.140625" style="115" customWidth="1"/>
    <col min="16" max="16" width="14.85546875" style="115" customWidth="1"/>
    <col min="17" max="16384" width="9.140625" style="115"/>
  </cols>
  <sheetData>
    <row r="1" spans="1:14" ht="12.75" customHeight="1" x14ac:dyDescent="0.25">
      <c r="A1" s="120" t="s">
        <v>0</v>
      </c>
      <c r="B1" s="121" t="s">
        <v>595</v>
      </c>
      <c r="C1" s="122" t="s">
        <v>587</v>
      </c>
      <c r="D1" s="121" t="s">
        <v>1</v>
      </c>
      <c r="E1" s="123" t="s">
        <v>2</v>
      </c>
      <c r="F1" s="123" t="s">
        <v>3</v>
      </c>
      <c r="G1" s="121" t="s">
        <v>4</v>
      </c>
      <c r="H1" s="121" t="s">
        <v>5</v>
      </c>
      <c r="I1" s="124" t="s">
        <v>6</v>
      </c>
      <c r="J1" s="121" t="s">
        <v>7</v>
      </c>
      <c r="K1" s="125" t="s">
        <v>8</v>
      </c>
      <c r="L1" s="126" t="s">
        <v>9</v>
      </c>
      <c r="M1" s="127" t="s">
        <v>10</v>
      </c>
    </row>
    <row r="2" spans="1:14" ht="12.75" customHeight="1" x14ac:dyDescent="0.25">
      <c r="A2" s="128"/>
      <c r="B2" s="128"/>
      <c r="C2" s="17" t="s">
        <v>590</v>
      </c>
      <c r="D2" s="129"/>
      <c r="E2" s="17"/>
      <c r="F2" s="17"/>
      <c r="G2" s="23"/>
      <c r="H2" s="51"/>
      <c r="I2" s="35"/>
      <c r="J2" s="51"/>
      <c r="K2" s="19"/>
      <c r="L2" s="130"/>
      <c r="M2" s="20">
        <v>1406179.3</v>
      </c>
      <c r="N2" s="115"/>
    </row>
    <row r="3" spans="1:14" ht="12.75" customHeight="1" x14ac:dyDescent="0.25">
      <c r="A3" s="128">
        <v>1</v>
      </c>
      <c r="B3" s="128"/>
      <c r="C3" s="17" t="s">
        <v>590</v>
      </c>
      <c r="D3" s="129">
        <v>45659</v>
      </c>
      <c r="E3" s="17" t="str">
        <f>VLOOKUP(A3,Base[],2,0)</f>
        <v>3.1.90.11.61 - VENCIMENTOS E SALÁRIOS</v>
      </c>
      <c r="F3" s="17" t="str">
        <f>VLOOKUP(A3,Base!B:D,3,0)</f>
        <v>COLABORADORES DIVERSOS</v>
      </c>
      <c r="G3" s="23">
        <f>VLOOKUP(A3,Base!B:H,4,0)</f>
        <v>0</v>
      </c>
      <c r="H3" s="51" t="str">
        <f>VLOOKUP($A3,Base[],5,0)</f>
        <v>HOLERITE</v>
      </c>
      <c r="I3" s="35"/>
      <c r="J3" s="51" t="s">
        <v>596</v>
      </c>
      <c r="K3" s="19"/>
      <c r="L3" s="130">
        <v>2098.15</v>
      </c>
      <c r="M3" s="20">
        <f>M2+ExtratoBanco[[#This Row],[CRÉDITO]]-ExtratoBanco[[#This Row],[DÉBITO]]</f>
        <v>1404081.1500000001</v>
      </c>
      <c r="N3" s="131"/>
    </row>
    <row r="4" spans="1:14" ht="12.75" customHeight="1" x14ac:dyDescent="0.25">
      <c r="A4" s="128">
        <v>24</v>
      </c>
      <c r="B4" s="128"/>
      <c r="C4" s="17" t="s">
        <v>590</v>
      </c>
      <c r="D4" s="129">
        <v>45659</v>
      </c>
      <c r="E4" s="17" t="str">
        <f>VLOOKUP(A4,Base[],2,0)</f>
        <v>APLICAÇÃO</v>
      </c>
      <c r="F4" s="17" t="str">
        <f>VLOOKUP(A4,Base!B:D,3,0)</f>
        <v>PALCOPARANÁ</v>
      </c>
      <c r="G4" s="23" t="str">
        <f>VLOOKUP(A4,Base!B:H,4,0)</f>
        <v>25.298.788/0001-95</v>
      </c>
      <c r="H4" s="51">
        <f>VLOOKUP($A4,Base[],5,0)</f>
        <v>0</v>
      </c>
      <c r="I4" s="35"/>
      <c r="J4" s="51" t="str">
        <f>VLOOKUP(ExtratoBanco[[#This Row],[Nº]],Base!B:H,7,0)</f>
        <v>APLICAÇÃO CDB-DI</v>
      </c>
      <c r="K4" s="19"/>
      <c r="L4" s="130">
        <v>1399000</v>
      </c>
      <c r="M4" s="20">
        <f>M3+ExtratoBanco[[#This Row],[CRÉDITO]]-ExtratoBanco[[#This Row],[DÉBITO]]</f>
        <v>5081.1500000001397</v>
      </c>
      <c r="N4" s="131"/>
    </row>
    <row r="5" spans="1:14" ht="12.75" customHeight="1" x14ac:dyDescent="0.25">
      <c r="A5" s="128">
        <v>1</v>
      </c>
      <c r="B5" s="128"/>
      <c r="C5" s="17" t="s">
        <v>590</v>
      </c>
      <c r="D5" s="129">
        <v>45659</v>
      </c>
      <c r="E5" s="17" t="str">
        <f>VLOOKUP(A5,Base[],2,0)</f>
        <v>3.1.90.11.61 - VENCIMENTOS E SALÁRIOS</v>
      </c>
      <c r="F5" s="17" t="str">
        <f>VLOOKUP(A5,Base!B:D,3,0)</f>
        <v>COLABORADORES DIVERSOS</v>
      </c>
      <c r="G5" s="23">
        <f>VLOOKUP(A5,Base!B:H,4,0)</f>
        <v>0</v>
      </c>
      <c r="H5" s="51" t="str">
        <f>VLOOKUP($A5,Base[],5,0)</f>
        <v>HOLERITE</v>
      </c>
      <c r="I5" s="35"/>
      <c r="J5" s="51" t="s">
        <v>596</v>
      </c>
      <c r="K5" s="19"/>
      <c r="L5" s="130">
        <v>1032.5</v>
      </c>
      <c r="M5" s="20">
        <f>M4+ExtratoBanco[[#This Row],[CRÉDITO]]-ExtratoBanco[[#This Row],[DÉBITO]]</f>
        <v>4048.6500000001397</v>
      </c>
      <c r="N5" s="131"/>
    </row>
    <row r="6" spans="1:14" ht="12.75" customHeight="1" x14ac:dyDescent="0.25">
      <c r="A6" s="128">
        <v>1</v>
      </c>
      <c r="B6" s="128"/>
      <c r="C6" s="17" t="s">
        <v>590</v>
      </c>
      <c r="D6" s="129">
        <v>45659</v>
      </c>
      <c r="E6" s="17" t="str">
        <f>VLOOKUP(A6,Base[],2,0)</f>
        <v>3.1.90.11.61 - VENCIMENTOS E SALÁRIOS</v>
      </c>
      <c r="F6" s="17" t="str">
        <f>VLOOKUP(A6,Base!B:D,3,0)</f>
        <v>COLABORADORES DIVERSOS</v>
      </c>
      <c r="G6" s="23">
        <f>VLOOKUP(A6,Base!B:H,4,0)</f>
        <v>0</v>
      </c>
      <c r="H6" s="51" t="str">
        <f>VLOOKUP($A6,Base[],5,0)</f>
        <v>HOLERITE</v>
      </c>
      <c r="I6" s="35"/>
      <c r="J6" s="51" t="s">
        <v>596</v>
      </c>
      <c r="K6" s="19"/>
      <c r="L6" s="130">
        <v>3498.95</v>
      </c>
      <c r="M6" s="20">
        <f>M5+ExtratoBanco[[#This Row],[CRÉDITO]]-ExtratoBanco[[#This Row],[DÉBITO]]</f>
        <v>549.70000000013988</v>
      </c>
      <c r="N6" s="131"/>
    </row>
    <row r="7" spans="1:14" ht="12.75" customHeight="1" x14ac:dyDescent="0.25">
      <c r="A7" s="128">
        <v>1</v>
      </c>
      <c r="B7" s="128"/>
      <c r="C7" s="17" t="s">
        <v>590</v>
      </c>
      <c r="D7" s="129">
        <v>45659</v>
      </c>
      <c r="E7" s="17" t="str">
        <f>VLOOKUP(A7,Base[],2,0)</f>
        <v>3.1.90.11.61 - VENCIMENTOS E SALÁRIOS</v>
      </c>
      <c r="F7" s="17" t="str">
        <f>VLOOKUP(A7,Base!B:D,3,0)</f>
        <v>COLABORADORES DIVERSOS</v>
      </c>
      <c r="G7" s="23">
        <f>VLOOKUP(A7,Base!B:H,4,0)</f>
        <v>0</v>
      </c>
      <c r="H7" s="51" t="str">
        <f>VLOOKUP($A7,Base[],5,0)</f>
        <v>HOLERITE</v>
      </c>
      <c r="I7" s="35"/>
      <c r="J7" s="51" t="s">
        <v>597</v>
      </c>
      <c r="K7" s="19"/>
      <c r="L7" s="130">
        <v>2693.81</v>
      </c>
      <c r="M7" s="20">
        <f>M6+ExtratoBanco[[#This Row],[CRÉDITO]]-ExtratoBanco[[#This Row],[DÉBITO]]</f>
        <v>-2144.1099999998601</v>
      </c>
      <c r="N7" s="131"/>
    </row>
    <row r="8" spans="1:14" ht="12.75" customHeight="1" x14ac:dyDescent="0.25">
      <c r="A8" s="128">
        <v>1</v>
      </c>
      <c r="B8" s="128"/>
      <c r="C8" s="17" t="s">
        <v>590</v>
      </c>
      <c r="D8" s="129">
        <v>45660</v>
      </c>
      <c r="E8" s="17" t="str">
        <f>VLOOKUP(A8,Base[],2,0)</f>
        <v>3.1.90.11.61 - VENCIMENTOS E SALÁRIOS</v>
      </c>
      <c r="F8" s="17" t="str">
        <f>VLOOKUP(A8,Base!B:D,3,0)</f>
        <v>COLABORADORES DIVERSOS</v>
      </c>
      <c r="G8" s="23">
        <f>VLOOKUP(A8,Base!B:H,4,0)</f>
        <v>0</v>
      </c>
      <c r="H8" s="51" t="str">
        <f>VLOOKUP($A8,Base[],5,0)</f>
        <v>HOLERITE</v>
      </c>
      <c r="I8" s="35"/>
      <c r="J8" s="51" t="s">
        <v>597</v>
      </c>
      <c r="K8" s="19"/>
      <c r="L8" s="130">
        <v>1439.58</v>
      </c>
      <c r="M8" s="20">
        <f>M7+ExtratoBanco[[#This Row],[CRÉDITO]]-ExtratoBanco[[#This Row],[DÉBITO]]</f>
        <v>-3583.68999999986</v>
      </c>
      <c r="N8" s="131"/>
    </row>
    <row r="9" spans="1:14" ht="12.75" customHeight="1" x14ac:dyDescent="0.25">
      <c r="A9" s="128">
        <v>5</v>
      </c>
      <c r="B9" s="128"/>
      <c r="C9" s="17" t="s">
        <v>590</v>
      </c>
      <c r="D9" s="129">
        <v>45660</v>
      </c>
      <c r="E9" s="17" t="str">
        <f>VLOOKUP(A9,Base[],2,0)</f>
        <v>RESGATE APLICAÇÃO</v>
      </c>
      <c r="F9" s="17" t="str">
        <f>VLOOKUP(A9,Base!B:D,3,0)</f>
        <v>PALCOPARANÁ</v>
      </c>
      <c r="G9" s="23" t="s">
        <v>598</v>
      </c>
      <c r="H9" s="51">
        <f>VLOOKUP($A9,Base[],5,0)</f>
        <v>0</v>
      </c>
      <c r="I9" s="35"/>
      <c r="J9" s="51" t="str">
        <f>VLOOKUP(ExtratoBanco[[#This Row],[Nº]],Base!B:H,7,0)</f>
        <v>RESGATE APLICAÇÃO</v>
      </c>
      <c r="K9" s="19">
        <v>4000</v>
      </c>
      <c r="L9" s="130"/>
      <c r="M9" s="20">
        <f>M8+ExtratoBanco[[#This Row],[CRÉDITO]]-ExtratoBanco[[#This Row],[DÉBITO]]</f>
        <v>416.31000000014001</v>
      </c>
      <c r="N9" s="132"/>
    </row>
    <row r="10" spans="1:14" ht="12.75" customHeight="1" x14ac:dyDescent="0.25">
      <c r="A10" s="128">
        <v>5</v>
      </c>
      <c r="B10" s="128"/>
      <c r="C10" s="17" t="s">
        <v>590</v>
      </c>
      <c r="D10" s="129">
        <v>45660</v>
      </c>
      <c r="E10" s="17" t="str">
        <f>VLOOKUP(A10,Base[],2,0)</f>
        <v>RESGATE APLICAÇÃO</v>
      </c>
      <c r="F10" s="17" t="str">
        <f>VLOOKUP(A10,Base!B:D,3,0)</f>
        <v>PALCOPARANÁ</v>
      </c>
      <c r="G10" s="23" t="str">
        <f>VLOOKUP(A10,Base!B:H,4,0)</f>
        <v>25.298.788/0001-95</v>
      </c>
      <c r="H10" s="51">
        <f>VLOOKUP($A10,Base[],5,0)</f>
        <v>0</v>
      </c>
      <c r="I10" s="35"/>
      <c r="J10" s="51" t="str">
        <f>VLOOKUP(ExtratoBanco[[#This Row],[Nº]],Base!B:H,7,0)</f>
        <v>RESGATE APLICAÇÃO</v>
      </c>
      <c r="K10" s="19">
        <v>346.64</v>
      </c>
      <c r="L10" s="130"/>
      <c r="M10" s="20">
        <f>M9+ExtratoBanco[[#This Row],[CRÉDITO]]-ExtratoBanco[[#This Row],[DÉBITO]]</f>
        <v>762.95000000013999</v>
      </c>
      <c r="N10" s="132"/>
    </row>
    <row r="11" spans="1:14" ht="12.75" customHeight="1" x14ac:dyDescent="0.25">
      <c r="A11" s="128">
        <v>4</v>
      </c>
      <c r="B11" s="128"/>
      <c r="C11" s="17" t="s">
        <v>590</v>
      </c>
      <c r="D11" s="129">
        <v>45664</v>
      </c>
      <c r="E11" s="17" t="str">
        <f>VLOOKUP(A11,Base[],2,0)</f>
        <v>3.3.90.39.47 - SERVIÇO DE COMUNICAÇÃO EM GERAL</v>
      </c>
      <c r="F11" s="17" t="str">
        <f>VLOOKUP(A11,Base!B:D,3,0)</f>
        <v>DPTO DE IMPRENSA OFICIAL ESTADO DO PARANÁ</v>
      </c>
      <c r="G11" s="23" t="str">
        <f>VLOOKUP(A11,Base!B:H,4,0)</f>
        <v>76.437.383/0001-21</v>
      </c>
      <c r="H11" s="51" t="str">
        <f>VLOOKUP($A11,Base[],5,0)</f>
        <v>NOTA FISCAL</v>
      </c>
      <c r="I11" s="35"/>
      <c r="J11" s="51" t="str">
        <f>VLOOKUP(ExtratoBanco[[#This Row],[Nº]],Base!B:H,7,0)</f>
        <v xml:space="preserve">PUBL. DIOE PROTOCOLO </v>
      </c>
      <c r="K11" s="19"/>
      <c r="L11" s="130">
        <v>330</v>
      </c>
      <c r="M11" s="20">
        <f>M10+ExtratoBanco[[#This Row],[CRÉDITO]]-ExtratoBanco[[#This Row],[DÉBITO]]</f>
        <v>432.95000000013999</v>
      </c>
      <c r="N11" s="131"/>
    </row>
    <row r="12" spans="1:14" ht="12.75" customHeight="1" x14ac:dyDescent="0.25">
      <c r="A12" s="128">
        <v>14</v>
      </c>
      <c r="B12" s="128"/>
      <c r="C12" s="17" t="s">
        <v>590</v>
      </c>
      <c r="D12" s="129">
        <v>45664</v>
      </c>
      <c r="E12" s="17" t="str">
        <f>VLOOKUP(A12,Base[],2,0)</f>
        <v>3.3.90.39.39 - ENCARGOS FINANCEIROS INDEDUTÍVEIS</v>
      </c>
      <c r="F12" s="17" t="str">
        <f>VLOOKUP(A12,Base!B:D,3,0)</f>
        <v>BANCO DO BRASIL</v>
      </c>
      <c r="G12" s="23">
        <f>VLOOKUP(A12,Base!B:H,4,0)</f>
        <v>191</v>
      </c>
      <c r="H12" s="51" t="str">
        <f>VLOOKUP($A12,Base[],5,0)</f>
        <v>AVISO DE DÉBITO</v>
      </c>
      <c r="I12" s="35"/>
      <c r="J12" s="51" t="str">
        <f>VLOOKUP(ExtratoBanco[[#This Row],[Nº]],Base!B:H,7,0)</f>
        <v>TARIFA BANCÁRIA</v>
      </c>
      <c r="K12" s="19"/>
      <c r="L12" s="130">
        <v>204.1</v>
      </c>
      <c r="M12" s="20">
        <f>M11+ExtratoBanco[[#This Row],[CRÉDITO]]-ExtratoBanco[[#This Row],[DÉBITO]]</f>
        <v>228.85000000014</v>
      </c>
      <c r="N12" s="131"/>
    </row>
    <row r="13" spans="1:14" ht="12.75" customHeight="1" x14ac:dyDescent="0.25">
      <c r="A13" s="128">
        <v>4</v>
      </c>
      <c r="B13" s="128"/>
      <c r="C13" s="17" t="s">
        <v>590</v>
      </c>
      <c r="D13" s="129">
        <v>45665</v>
      </c>
      <c r="E13" s="17" t="str">
        <f>VLOOKUP(A13,Base[],2,0)</f>
        <v>3.3.90.39.47 - SERVIÇO DE COMUNICAÇÃO EM GERAL</v>
      </c>
      <c r="F13" s="17" t="str">
        <f>VLOOKUP(A13,Base!B:D,3,0)</f>
        <v>DPTO DE IMPRENSA OFICIAL ESTADO DO PARANÁ</v>
      </c>
      <c r="G13" s="23" t="str">
        <f>VLOOKUP(A13,Base!B:H,4,0)</f>
        <v>76.437.383/0001-21</v>
      </c>
      <c r="H13" s="51" t="str">
        <f>VLOOKUP($A13,Base[],5,0)</f>
        <v>NOTA FISCAL</v>
      </c>
      <c r="I13" s="35"/>
      <c r="J13" s="51" t="str">
        <f>VLOOKUP(ExtratoBanco[[#This Row],[Nº]],Base!B:H,7,0)</f>
        <v xml:space="preserve">PUBL. DIOE PROTOCOLO </v>
      </c>
      <c r="K13" s="19"/>
      <c r="L13" s="130">
        <v>180</v>
      </c>
      <c r="M13" s="20">
        <f>M12+ExtratoBanco[[#This Row],[CRÉDITO]]-ExtratoBanco[[#This Row],[DÉBITO]]</f>
        <v>48.85000000014</v>
      </c>
      <c r="N13" s="131"/>
    </row>
    <row r="14" spans="1:14" ht="12.75" customHeight="1" x14ac:dyDescent="0.25">
      <c r="A14" s="128">
        <v>45</v>
      </c>
      <c r="B14" s="128"/>
      <c r="C14" s="17" t="s">
        <v>590</v>
      </c>
      <c r="D14" s="129">
        <v>45667</v>
      </c>
      <c r="E14" s="17" t="str">
        <f>VLOOKUP(A14,Base[],2,0)</f>
        <v>3.3.90.46.03 - AUXÍLIO-ALIMENTAÇÃO</v>
      </c>
      <c r="F14" s="17" t="str">
        <f>VLOOKUP(A14,Base!B:D,3,0)</f>
        <v>GIMAVE - MEIOS DE PAGAMENTOS E INFORMACOES LTDA</v>
      </c>
      <c r="G14" s="23" t="str">
        <f>VLOOKUP(A14,Base!B:H,4,0)</f>
        <v>05.989.476/0001-10</v>
      </c>
      <c r="H14" s="51" t="str">
        <f>VLOOKUP($A14,Base[],5,0)</f>
        <v>NFS-e</v>
      </c>
      <c r="I14" s="35"/>
      <c r="J14" s="51" t="s">
        <v>599</v>
      </c>
      <c r="K14" s="19"/>
      <c r="L14" s="130">
        <v>4120.2</v>
      </c>
      <c r="M14" s="20">
        <f>M13+ExtratoBanco[[#This Row],[CRÉDITO]]-ExtratoBanco[[#This Row],[DÉBITO]]</f>
        <v>-4071.3499999998598</v>
      </c>
      <c r="N14" s="131"/>
    </row>
    <row r="15" spans="1:14" ht="12.75" customHeight="1" x14ac:dyDescent="0.25">
      <c r="A15" s="128">
        <v>52</v>
      </c>
      <c r="B15" s="128"/>
      <c r="C15" s="17" t="s">
        <v>593</v>
      </c>
      <c r="D15" s="129">
        <v>45670</v>
      </c>
      <c r="E15" s="17" t="str">
        <f>VLOOKUP(A15,Base[],2,0)</f>
        <v>3.3.90.34.23 - OUTROS CONTRATOS DE PESSOAL TERCEIRIZADO</v>
      </c>
      <c r="F15" s="17" t="s">
        <v>600</v>
      </c>
      <c r="G15" s="23">
        <f>VLOOKUP(A15,Base!B:H,4,0)</f>
        <v>0</v>
      </c>
      <c r="H15" s="51" t="str">
        <f>VLOOKUP($A15,Base[],5,0)</f>
        <v>NFS-e</v>
      </c>
      <c r="I15" s="35">
        <v>47</v>
      </c>
      <c r="J15" s="51" t="s">
        <v>601</v>
      </c>
      <c r="K15" s="19"/>
      <c r="L15" s="130">
        <v>6000</v>
      </c>
      <c r="M15" s="20">
        <f>M14+ExtratoBanco[[#This Row],[CRÉDITO]]-ExtratoBanco[[#This Row],[DÉBITO]]</f>
        <v>-10071.34999999986</v>
      </c>
      <c r="N15" s="131"/>
    </row>
    <row r="16" spans="1:14" ht="12.75" customHeight="1" x14ac:dyDescent="0.25">
      <c r="A16" s="128">
        <v>5</v>
      </c>
      <c r="B16" s="128"/>
      <c r="C16" s="17" t="s">
        <v>590</v>
      </c>
      <c r="D16" s="129">
        <v>45670</v>
      </c>
      <c r="E16" s="17" t="str">
        <f>VLOOKUP(A16,Base[],2,0)</f>
        <v>RESGATE APLICAÇÃO</v>
      </c>
      <c r="F16" s="17" t="str">
        <f>VLOOKUP(A16,Base!B:D,3,0)</f>
        <v>PALCOPARANÁ</v>
      </c>
      <c r="G16" s="23" t="s">
        <v>602</v>
      </c>
      <c r="H16" s="51" t="s">
        <v>76</v>
      </c>
      <c r="I16" s="35"/>
      <c r="J16" s="51" t="str">
        <f>VLOOKUP(ExtratoBanco[[#This Row],[Nº]],Base!B:H,7,0)</f>
        <v>RESGATE APLICAÇÃO</v>
      </c>
      <c r="K16" s="19">
        <v>10500</v>
      </c>
      <c r="L16" s="130"/>
      <c r="M16" s="20">
        <f>M15+ExtratoBanco[[#This Row],[CRÉDITO]]-ExtratoBanco[[#This Row],[DÉBITO]]</f>
        <v>428.6500000001397</v>
      </c>
      <c r="N16" s="132"/>
    </row>
    <row r="17" spans="1:14" ht="12.75" customHeight="1" x14ac:dyDescent="0.25">
      <c r="A17" s="128">
        <v>5</v>
      </c>
      <c r="B17" s="128"/>
      <c r="C17" s="17" t="s">
        <v>590</v>
      </c>
      <c r="D17" s="129">
        <v>45670</v>
      </c>
      <c r="E17" s="17" t="str">
        <f>VLOOKUP(A17,Base[],2,0)</f>
        <v>RESGATE APLICAÇÃO</v>
      </c>
      <c r="F17" s="17" t="str">
        <f>VLOOKUP(A17,Base!B:D,3,0)</f>
        <v>PALCOPARANÁ</v>
      </c>
      <c r="G17" s="23" t="str">
        <f>VLOOKUP(A17,Base!B:H,4,0)</f>
        <v>25.298.788/0001-95</v>
      </c>
      <c r="H17" s="51">
        <f>VLOOKUP($A17,Base[],5,0)</f>
        <v>0</v>
      </c>
      <c r="I17" s="35"/>
      <c r="J17" s="51" t="str">
        <f>VLOOKUP(ExtratoBanco[[#This Row],[Nº]],Base!B:H,7,0)</f>
        <v>RESGATE APLICAÇÃO</v>
      </c>
      <c r="K17" s="19">
        <v>935.13</v>
      </c>
      <c r="L17" s="130"/>
      <c r="M17" s="20">
        <f>M16+ExtratoBanco[[#This Row],[CRÉDITO]]-ExtratoBanco[[#This Row],[DÉBITO]]</f>
        <v>1363.7800000001398</v>
      </c>
      <c r="N17" s="132"/>
    </row>
    <row r="18" spans="1:14" ht="12.75" customHeight="1" x14ac:dyDescent="0.25">
      <c r="A18" s="128">
        <v>16</v>
      </c>
      <c r="B18" s="128"/>
      <c r="C18" s="17" t="s">
        <v>590</v>
      </c>
      <c r="D18" s="129">
        <v>45674</v>
      </c>
      <c r="E18" s="17" t="str">
        <f>VLOOKUP(A18,Base[],2,0)</f>
        <v>3.1.90.13.01- CONTRIBUIÇÕES PREVIDENCIÁRIAS - INSS</v>
      </c>
      <c r="F18" s="17" t="str">
        <f>VLOOKUP(A18,Base!B:D,3,0)</f>
        <v>FUNDO DO REGIME GERAL DE PREVIDENCIA SOCIAL</v>
      </c>
      <c r="G18" s="23" t="str">
        <f>VLOOKUP(A18,Base!B:H,4,0)</f>
        <v>16.727.230/0001-97</v>
      </c>
      <c r="H18" s="51" t="str">
        <f>VLOOKUP($A18,Base[],5,0)</f>
        <v>GPS</v>
      </c>
      <c r="I18" s="35"/>
      <c r="J18" s="51" t="s">
        <v>603</v>
      </c>
      <c r="K18" s="19"/>
      <c r="L18" s="130">
        <v>183178.48</v>
      </c>
      <c r="M18" s="20">
        <f>M17+ExtratoBanco[[#This Row],[CRÉDITO]]-ExtratoBanco[[#This Row],[DÉBITO]]</f>
        <v>-181814.69999999987</v>
      </c>
      <c r="N18" s="131"/>
    </row>
    <row r="19" spans="1:14" ht="12.75" customHeight="1" x14ac:dyDescent="0.25">
      <c r="A19" s="128">
        <v>5</v>
      </c>
      <c r="B19" s="128"/>
      <c r="C19" s="17" t="s">
        <v>590</v>
      </c>
      <c r="D19" s="129">
        <v>45674</v>
      </c>
      <c r="E19" s="17" t="str">
        <f>VLOOKUP(A19,Base[],2,0)</f>
        <v>RESGATE APLICAÇÃO</v>
      </c>
      <c r="F19" s="17" t="str">
        <f>VLOOKUP(A19,Base!B:D,3,0)</f>
        <v>PALCOPARANÁ</v>
      </c>
      <c r="G19" s="23" t="str">
        <f>VLOOKUP(A19,Base!B:H,4,0)</f>
        <v>25.298.788/0001-95</v>
      </c>
      <c r="H19" s="51">
        <f>VLOOKUP($A19,Base[],5,0)</f>
        <v>0</v>
      </c>
      <c r="I19" s="35"/>
      <c r="J19" s="51" t="str">
        <f>VLOOKUP(ExtratoBanco[[#This Row],[Nº]],Base!B:H,7,0)</f>
        <v>RESGATE APLICAÇÃO</v>
      </c>
      <c r="K19" s="19">
        <v>182000</v>
      </c>
      <c r="L19" s="130"/>
      <c r="M19" s="20">
        <f>M18+ExtratoBanco[[#This Row],[CRÉDITO]]-ExtratoBanco[[#This Row],[DÉBITO]]</f>
        <v>185.30000000013388</v>
      </c>
      <c r="N19" s="132"/>
    </row>
    <row r="20" spans="1:14" ht="12.75" customHeight="1" x14ac:dyDescent="0.25">
      <c r="A20" s="128">
        <v>5</v>
      </c>
      <c r="B20" s="128"/>
      <c r="C20" s="17" t="s">
        <v>590</v>
      </c>
      <c r="D20" s="129">
        <v>45674</v>
      </c>
      <c r="E20" s="17" t="str">
        <f>VLOOKUP(A20,Base[],2,0)</f>
        <v>RESGATE APLICAÇÃO</v>
      </c>
      <c r="F20" s="17" t="str">
        <f>VLOOKUP(A20,Base!B:D,3,0)</f>
        <v>PALCOPARANÁ</v>
      </c>
      <c r="G20" s="23" t="str">
        <f>VLOOKUP(A20,Base!B:H,4,0)</f>
        <v>25.298.788/0001-95</v>
      </c>
      <c r="H20" s="51">
        <f>VLOOKUP($A20,Base[],5,0)</f>
        <v>0</v>
      </c>
      <c r="I20" s="35"/>
      <c r="J20" s="51" t="str">
        <f>VLOOKUP(ExtratoBanco[[#This Row],[Nº]],Base!B:H,7,0)</f>
        <v>RESGATE APLICAÇÃO</v>
      </c>
      <c r="K20" s="19">
        <v>518.66999999999996</v>
      </c>
      <c r="L20" s="130"/>
      <c r="M20" s="20">
        <f>M19+ExtratoBanco[[#This Row],[CRÉDITO]]-ExtratoBanco[[#This Row],[DÉBITO]]</f>
        <v>703.97000000013384</v>
      </c>
      <c r="N20" s="132"/>
    </row>
    <row r="21" spans="1:14" ht="12.75" customHeight="1" x14ac:dyDescent="0.25">
      <c r="A21" s="128">
        <v>5</v>
      </c>
      <c r="B21" s="128"/>
      <c r="C21" s="17" t="s">
        <v>590</v>
      </c>
      <c r="D21" s="129">
        <v>45674</v>
      </c>
      <c r="E21" s="17" t="str">
        <f>VLOOKUP(A21,Base[],2,0)</f>
        <v>RESGATE APLICAÇÃO</v>
      </c>
      <c r="F21" s="17" t="str">
        <f>VLOOKUP(A21,Base!B:D,3,0)</f>
        <v>PALCOPARANÁ</v>
      </c>
      <c r="G21" s="23" t="str">
        <f>VLOOKUP(A21,Base!B:H,4,0)</f>
        <v>25.298.788/0001-95</v>
      </c>
      <c r="H21" s="51">
        <f>VLOOKUP($A21,Base[],5,0)</f>
        <v>0</v>
      </c>
      <c r="I21" s="35"/>
      <c r="J21" s="51" t="str">
        <f>VLOOKUP(ExtratoBanco[[#This Row],[Nº]],Base!B:H,7,0)</f>
        <v>RESGATE APLICAÇÃO</v>
      </c>
      <c r="K21" s="19">
        <v>1119.25</v>
      </c>
      <c r="L21" s="130"/>
      <c r="M21" s="20">
        <f>M20+ExtratoBanco[[#This Row],[CRÉDITO]]-ExtratoBanco[[#This Row],[DÉBITO]]</f>
        <v>1823.220000000134</v>
      </c>
      <c r="N21" s="132"/>
    </row>
    <row r="22" spans="1:14" ht="12.75" customHeight="1" x14ac:dyDescent="0.25">
      <c r="A22" s="128">
        <v>10</v>
      </c>
      <c r="B22" s="128"/>
      <c r="C22" s="17" t="s">
        <v>590</v>
      </c>
      <c r="D22" s="129">
        <v>45674</v>
      </c>
      <c r="E22" s="17" t="str">
        <f>VLOOKUP(A22,Base[],2,0)</f>
        <v>3.1.90.13.02 - FGTS</v>
      </c>
      <c r="F22" s="17" t="str">
        <f>VLOOKUP(A22,Base!B:D,3,0)</f>
        <v>CAIXA ECONÔMICA FEDERAL</v>
      </c>
      <c r="G22" s="23">
        <f>VLOOKUP(A22,Base!B:H,4,0)</f>
        <v>0</v>
      </c>
      <c r="H22" s="51" t="str">
        <f>VLOOKUP($A22,Base[],5,0)</f>
        <v>GUIA GRRF</v>
      </c>
      <c r="I22" s="35"/>
      <c r="J22" s="51" t="s">
        <v>604</v>
      </c>
      <c r="K22" s="19"/>
      <c r="L22" s="130">
        <v>57902.97</v>
      </c>
      <c r="M22" s="20">
        <f>M21+ExtratoBanco[[#This Row],[CRÉDITO]]-ExtratoBanco[[#This Row],[DÉBITO]]</f>
        <v>-56079.749999999869</v>
      </c>
      <c r="N22" s="131"/>
    </row>
    <row r="23" spans="1:14" ht="12.75" customHeight="1" x14ac:dyDescent="0.25">
      <c r="A23" s="128">
        <v>16</v>
      </c>
      <c r="B23" s="128"/>
      <c r="C23" s="17" t="s">
        <v>590</v>
      </c>
      <c r="D23" s="129">
        <v>45674</v>
      </c>
      <c r="E23" s="17" t="str">
        <f>VLOOKUP(A23,Base[],2,0)</f>
        <v>3.1.90.13.01- CONTRIBUIÇÕES PREVIDENCIÁRIAS - INSS</v>
      </c>
      <c r="F23" s="17" t="str">
        <f>VLOOKUP(A23,Base!B:D,3,0)</f>
        <v>FUNDO DO REGIME GERAL DE PREVIDENCIA SOCIAL</v>
      </c>
      <c r="G23" s="23" t="str">
        <f>VLOOKUP(A23,Base!B:H,4,0)</f>
        <v>16.727.230/0001-97</v>
      </c>
      <c r="H23" s="51" t="str">
        <f>VLOOKUP($A23,Base[],5,0)</f>
        <v>GPS</v>
      </c>
      <c r="I23" s="35"/>
      <c r="J23" s="51" t="s">
        <v>603</v>
      </c>
      <c r="K23" s="19"/>
      <c r="L23" s="130">
        <v>286248.07</v>
      </c>
      <c r="M23" s="20">
        <f>M22+ExtratoBanco[[#This Row],[CRÉDITO]]-ExtratoBanco[[#This Row],[DÉBITO]]</f>
        <v>-342327.81999999989</v>
      </c>
      <c r="N23" s="131"/>
    </row>
    <row r="24" spans="1:14" ht="12.75" customHeight="1" x14ac:dyDescent="0.25">
      <c r="A24" s="128">
        <v>38</v>
      </c>
      <c r="B24" s="128"/>
      <c r="C24" s="17" t="s">
        <v>590</v>
      </c>
      <c r="D24" s="129">
        <v>45674</v>
      </c>
      <c r="E24" s="17" t="str">
        <f>VLOOKUP(A24,Base[],2,0)</f>
        <v>3.3.90.39.50 - SERVIÇOS MÉDICOS - HOSPITAL, ODONT. E LABORATORIAIS</v>
      </c>
      <c r="F24" s="17" t="str">
        <f>VLOOKUP(A24,Base!B:D,3,0)</f>
        <v xml:space="preserve">CLINIMERCES MEDSISTEN - ASSESSORIA EM SEGURANCA DO TRABALHO LTDA </v>
      </c>
      <c r="G24" s="23" t="str">
        <f>VLOOKUP(A24,Base!B:H,4,0)</f>
        <v>09.110.390/0001-27</v>
      </c>
      <c r="H24" s="51" t="str">
        <f>VLOOKUP($A24,Base[],5,0)</f>
        <v>NFS-e</v>
      </c>
      <c r="I24" s="35"/>
      <c r="J24" s="51" t="str">
        <f>VLOOKUP(ExtratoBanco[[#This Row],[Nº]],Base!B:H,7,0)</f>
        <v>PGTO EXAMES OCUPACIONAIS</v>
      </c>
      <c r="K24" s="19"/>
      <c r="L24" s="130">
        <v>638.75</v>
      </c>
      <c r="M24" s="20">
        <f>M23+ExtratoBanco[[#This Row],[CRÉDITO]]-ExtratoBanco[[#This Row],[DÉBITO]]</f>
        <v>-342966.56999999989</v>
      </c>
      <c r="N24" s="131"/>
    </row>
    <row r="25" spans="1:14" ht="12.75" customHeight="1" x14ac:dyDescent="0.25">
      <c r="A25" s="128">
        <v>5</v>
      </c>
      <c r="B25" s="128"/>
      <c r="C25" s="17" t="s">
        <v>590</v>
      </c>
      <c r="D25" s="129">
        <v>45674</v>
      </c>
      <c r="E25" s="17" t="str">
        <f>VLOOKUP(A25,Base[],2,0)</f>
        <v>RESGATE APLICAÇÃO</v>
      </c>
      <c r="F25" s="17" t="str">
        <f>VLOOKUP(A25,Base!B:D,3,0)</f>
        <v>PALCOPARANÁ</v>
      </c>
      <c r="G25" s="23" t="str">
        <f>VLOOKUP(A25,Base!B:H,4,0)</f>
        <v>25.298.788/0001-95</v>
      </c>
      <c r="H25" s="51">
        <f>VLOOKUP($A25,Base[],5,0)</f>
        <v>0</v>
      </c>
      <c r="I25" s="35"/>
      <c r="J25" s="51" t="str">
        <f>VLOOKUP(ExtratoBanco[[#This Row],[Nº]],Base!B:H,7,0)</f>
        <v>RESGATE APLICAÇÃO</v>
      </c>
      <c r="K25" s="19">
        <v>343000</v>
      </c>
      <c r="L25" s="130"/>
      <c r="M25" s="20">
        <f>M24+ExtratoBanco[[#This Row],[CRÉDITO]]-ExtratoBanco[[#This Row],[DÉBITO]]</f>
        <v>33.43000000010943</v>
      </c>
      <c r="N25" s="132"/>
    </row>
    <row r="26" spans="1:14" ht="12.75" customHeight="1" x14ac:dyDescent="0.25">
      <c r="A26" s="128">
        <v>5</v>
      </c>
      <c r="B26" s="128"/>
      <c r="C26" s="17" t="s">
        <v>590</v>
      </c>
      <c r="D26" s="129">
        <v>45674</v>
      </c>
      <c r="E26" s="17" t="str">
        <f>VLOOKUP(A26,Base[],2,0)</f>
        <v>RESGATE APLICAÇÃO</v>
      </c>
      <c r="F26" s="17" t="str">
        <f>VLOOKUP(A26,Base!B:D,3,0)</f>
        <v>PALCOPARANÁ</v>
      </c>
      <c r="G26" s="23" t="str">
        <f>VLOOKUP(A26,Base!B:H,4,0)</f>
        <v>25.298.788/0001-95</v>
      </c>
      <c r="H26" s="51">
        <f>VLOOKUP($A26,Base[],5,0)</f>
        <v>0</v>
      </c>
      <c r="I26" s="35"/>
      <c r="J26" s="51" t="str">
        <f>VLOOKUP(ExtratoBanco[[#This Row],[Nº]],Base!B:H,7,0)</f>
        <v>RESGATE APLICAÇÃO</v>
      </c>
      <c r="K26" s="19">
        <v>1646.4</v>
      </c>
      <c r="L26" s="130"/>
      <c r="M26" s="20">
        <f>M25+ExtratoBanco[[#This Row],[CRÉDITO]]-ExtratoBanco[[#This Row],[DÉBITO]]</f>
        <v>1679.8300000001095</v>
      </c>
      <c r="N26" s="132"/>
    </row>
    <row r="27" spans="1:14" ht="12.75" customHeight="1" x14ac:dyDescent="0.25">
      <c r="A27" s="128">
        <v>4</v>
      </c>
      <c r="B27" s="128"/>
      <c r="C27" s="17" t="s">
        <v>590</v>
      </c>
      <c r="D27" s="129">
        <v>45679</v>
      </c>
      <c r="E27" s="17" t="str">
        <f>VLOOKUP(A27,Base[],2,0)</f>
        <v>3.3.90.39.47 - SERVIÇO DE COMUNICAÇÃO EM GERAL</v>
      </c>
      <c r="F27" s="17" t="str">
        <f>VLOOKUP(A27,Base!B:D,3,0)</f>
        <v>DPTO DE IMPRENSA OFICIAL ESTADO DO PARANÁ</v>
      </c>
      <c r="G27" s="23" t="str">
        <f>VLOOKUP(A27,Base!B:H,4,0)</f>
        <v>76.437.383/0001-21</v>
      </c>
      <c r="H27" s="51" t="str">
        <f>VLOOKUP($A27,Base[],5,0)</f>
        <v>NOTA FISCAL</v>
      </c>
      <c r="I27" s="35"/>
      <c r="J27" s="51" t="str">
        <f>VLOOKUP(ExtratoBanco[[#This Row],[Nº]],Base!B:H,7,0)</f>
        <v xml:space="preserve">PUBL. DIOE PROTOCOLO </v>
      </c>
      <c r="K27" s="19"/>
      <c r="L27" s="130">
        <v>1530</v>
      </c>
      <c r="M27" s="20">
        <f>M26+ExtratoBanco[[#This Row],[CRÉDITO]]-ExtratoBanco[[#This Row],[DÉBITO]]</f>
        <v>149.83000000010952</v>
      </c>
      <c r="N27" s="132"/>
    </row>
    <row r="28" spans="1:14" ht="12.75" customHeight="1" x14ac:dyDescent="0.25">
      <c r="A28" s="128">
        <v>4</v>
      </c>
      <c r="B28" s="128"/>
      <c r="C28" s="17" t="s">
        <v>590</v>
      </c>
      <c r="D28" s="129">
        <v>45679</v>
      </c>
      <c r="E28" s="17" t="str">
        <f>VLOOKUP(A28,Base[],2,0)</f>
        <v>3.3.90.39.47 - SERVIÇO DE COMUNICAÇÃO EM GERAL</v>
      </c>
      <c r="F28" s="17" t="str">
        <f>VLOOKUP(A28,Base!B:D,3,0)</f>
        <v>DPTO DE IMPRENSA OFICIAL ESTADO DO PARANÁ</v>
      </c>
      <c r="G28" s="23" t="str">
        <f>VLOOKUP(A28,Base!B:H,4,0)</f>
        <v>76.437.383/0001-21</v>
      </c>
      <c r="H28" s="51" t="str">
        <f>VLOOKUP($A28,Base[],5,0)</f>
        <v>NOTA FISCAL</v>
      </c>
      <c r="I28" s="35"/>
      <c r="J28" s="51" t="str">
        <f>VLOOKUP(ExtratoBanco[[#This Row],[Nº]],Base!B:H,7,0)</f>
        <v xml:space="preserve">PUBL. DIOE PROTOCOLO </v>
      </c>
      <c r="K28" s="19"/>
      <c r="L28" s="130">
        <v>2370</v>
      </c>
      <c r="M28" s="20">
        <f>M27+ExtratoBanco[[#This Row],[CRÉDITO]]-ExtratoBanco[[#This Row],[DÉBITO]]</f>
        <v>-2220.1699999998905</v>
      </c>
      <c r="N28" s="132"/>
    </row>
    <row r="29" spans="1:14" ht="12.75" customHeight="1" x14ac:dyDescent="0.25">
      <c r="A29" s="128">
        <v>5</v>
      </c>
      <c r="B29" s="128"/>
      <c r="C29" s="17" t="s">
        <v>590</v>
      </c>
      <c r="D29" s="129">
        <v>45679</v>
      </c>
      <c r="E29" s="17" t="str">
        <f>VLOOKUP(A29,Base[],2,0)</f>
        <v>RESGATE APLICAÇÃO</v>
      </c>
      <c r="F29" s="17" t="str">
        <f>VLOOKUP(A29,Base!B:D,3,0)</f>
        <v>PALCOPARANÁ</v>
      </c>
      <c r="G29" s="23" t="str">
        <f>VLOOKUP(A29,Base!B:H,4,0)</f>
        <v>25.298.788/0001-95</v>
      </c>
      <c r="H29" s="51">
        <f>VLOOKUP($A29,Base[],5,0)</f>
        <v>0</v>
      </c>
      <c r="I29" s="35"/>
      <c r="J29" s="51" t="str">
        <f>VLOOKUP(ExtratoBanco[[#This Row],[Nº]],Base!B:H,7,0)</f>
        <v>RESGATE APLICAÇÃO</v>
      </c>
      <c r="K29" s="19">
        <v>2500</v>
      </c>
      <c r="L29" s="130"/>
      <c r="M29" s="20">
        <f>M28+ExtratoBanco[[#This Row],[CRÉDITO]]-ExtratoBanco[[#This Row],[DÉBITO]]</f>
        <v>279.83000000010952</v>
      </c>
      <c r="N29" s="132"/>
    </row>
    <row r="30" spans="1:14" ht="12.75" customHeight="1" x14ac:dyDescent="0.25">
      <c r="A30" s="128">
        <v>5</v>
      </c>
      <c r="B30" s="128"/>
      <c r="C30" s="17" t="s">
        <v>590</v>
      </c>
      <c r="D30" s="129">
        <v>45679</v>
      </c>
      <c r="E30" s="17" t="str">
        <f>VLOOKUP(A30,Base[],2,0)</f>
        <v>RESGATE APLICAÇÃO</v>
      </c>
      <c r="F30" s="17" t="str">
        <f>VLOOKUP(A30,Base!B:D,3,0)</f>
        <v>PALCOPARANÁ</v>
      </c>
      <c r="G30" s="23" t="str">
        <f>VLOOKUP(A30,Base!B:H,4,0)</f>
        <v>25.298.788/0001-95</v>
      </c>
      <c r="H30" s="51">
        <f>VLOOKUP($A30,Base[],5,0)</f>
        <v>0</v>
      </c>
      <c r="I30" s="35"/>
      <c r="J30" s="51" t="str">
        <f>VLOOKUP(ExtratoBanco[[#This Row],[Nº]],Base!B:H,7,0)</f>
        <v>RESGATE APLICAÇÃO</v>
      </c>
      <c r="K30" s="19">
        <v>15.3</v>
      </c>
      <c r="L30" s="130"/>
      <c r="M30" s="20">
        <f>M29+ExtratoBanco[[#This Row],[CRÉDITO]]-ExtratoBanco[[#This Row],[DÉBITO]]</f>
        <v>295.13000000010953</v>
      </c>
      <c r="N30" s="132"/>
    </row>
    <row r="31" spans="1:14" ht="12.75" customHeight="1" x14ac:dyDescent="0.25">
      <c r="A31" s="128">
        <v>52</v>
      </c>
      <c r="B31" s="128"/>
      <c r="C31" s="17" t="s">
        <v>593</v>
      </c>
      <c r="D31" s="129">
        <v>45685</v>
      </c>
      <c r="E31" s="17" t="str">
        <f>VLOOKUP(A31,Base[],2,0)</f>
        <v>3.3.90.34.23 - OUTROS CONTRATOS DE PESSOAL TERCEIRIZADO</v>
      </c>
      <c r="F31" s="17" t="s">
        <v>605</v>
      </c>
      <c r="G31" s="23">
        <f>VLOOKUP(A31,Base!B:H,4,0)</f>
        <v>0</v>
      </c>
      <c r="H31" s="51" t="str">
        <f>VLOOKUP($A31,Base[],5,0)</f>
        <v>NFS-e</v>
      </c>
      <c r="I31" s="35">
        <v>43</v>
      </c>
      <c r="J31" s="51" t="s">
        <v>606</v>
      </c>
      <c r="K31" s="19"/>
      <c r="L31" s="130">
        <v>12000</v>
      </c>
      <c r="M31" s="20">
        <f>M30+ExtratoBanco[[#This Row],[CRÉDITO]]-ExtratoBanco[[#This Row],[DÉBITO]]</f>
        <v>-11704.86999999989</v>
      </c>
      <c r="N31" s="132"/>
    </row>
    <row r="32" spans="1:14" ht="12.75" customHeight="1" x14ac:dyDescent="0.25">
      <c r="A32" s="128">
        <v>52</v>
      </c>
      <c r="B32" s="128"/>
      <c r="C32" s="17" t="s">
        <v>593</v>
      </c>
      <c r="D32" s="129">
        <v>45685</v>
      </c>
      <c r="E32" s="17" t="str">
        <f>VLOOKUP(A32,Base[],2,0)</f>
        <v>3.3.90.34.23 - OUTROS CONTRATOS DE PESSOAL TERCEIRIZADO</v>
      </c>
      <c r="F32" s="17" t="s">
        <v>607</v>
      </c>
      <c r="G32" s="23">
        <f>VLOOKUP(A32,Base!B:H,4,0)</f>
        <v>0</v>
      </c>
      <c r="H32" s="51" t="str">
        <f>VLOOKUP($A32,Base[],5,0)</f>
        <v>NFS-e</v>
      </c>
      <c r="I32" s="35">
        <v>418</v>
      </c>
      <c r="J32" s="51" t="s">
        <v>608</v>
      </c>
      <c r="K32" s="19"/>
      <c r="L32" s="130">
        <v>126000</v>
      </c>
      <c r="M32" s="20">
        <f>M31+ExtratoBanco[[#This Row],[CRÉDITO]]-ExtratoBanco[[#This Row],[DÉBITO]]</f>
        <v>-137704.86999999988</v>
      </c>
      <c r="N32" s="132"/>
    </row>
    <row r="33" spans="1:14" ht="12.75" customHeight="1" x14ac:dyDescent="0.25">
      <c r="A33" s="128">
        <v>52</v>
      </c>
      <c r="B33" s="128"/>
      <c r="C33" s="17" t="s">
        <v>593</v>
      </c>
      <c r="D33" s="129">
        <v>45685</v>
      </c>
      <c r="E33" s="17" t="str">
        <f>VLOOKUP(A33,Base[],2,0)</f>
        <v>3.3.90.34.23 - OUTROS CONTRATOS DE PESSOAL TERCEIRIZADO</v>
      </c>
      <c r="F33" s="17" t="s">
        <v>609</v>
      </c>
      <c r="G33" s="23">
        <f>VLOOKUP(A33,Base!B:H,4,0)</f>
        <v>0</v>
      </c>
      <c r="H33" s="51" t="str">
        <f>VLOOKUP($A33,Base[],5,0)</f>
        <v>NFS-e</v>
      </c>
      <c r="I33" s="35">
        <v>99</v>
      </c>
      <c r="J33" s="51" t="s">
        <v>610</v>
      </c>
      <c r="K33" s="19"/>
      <c r="L33" s="130">
        <v>6000</v>
      </c>
      <c r="M33" s="20">
        <f>M32+ExtratoBanco[[#This Row],[CRÉDITO]]-ExtratoBanco[[#This Row],[DÉBITO]]</f>
        <v>-143704.86999999988</v>
      </c>
      <c r="N33" s="132"/>
    </row>
    <row r="34" spans="1:14" ht="12.75" customHeight="1" x14ac:dyDescent="0.25">
      <c r="A34" s="128">
        <v>14</v>
      </c>
      <c r="B34" s="128"/>
      <c r="C34" s="17" t="s">
        <v>590</v>
      </c>
      <c r="D34" s="129">
        <v>45685</v>
      </c>
      <c r="E34" s="17" t="str">
        <f>VLOOKUP(A34,Base[],2,0)</f>
        <v>3.3.90.39.39 - ENCARGOS FINANCEIROS INDEDUTÍVEIS</v>
      </c>
      <c r="F34" s="17" t="str">
        <f>VLOOKUP(A34,Base!B:D,3,0)</f>
        <v>BANCO DO BRASIL</v>
      </c>
      <c r="G34" s="23">
        <f>VLOOKUP(A34,Base!B:H,4,0)</f>
        <v>191</v>
      </c>
      <c r="H34" s="51" t="str">
        <f>VLOOKUP($A34,Base[],5,0)</f>
        <v>AVISO DE DÉBITO</v>
      </c>
      <c r="I34" s="35"/>
      <c r="J34" s="51" t="str">
        <f>VLOOKUP(ExtratoBanco[[#This Row],[Nº]],Base!B:H,7,0)</f>
        <v>TARIFA BANCÁRIA</v>
      </c>
      <c r="K34" s="19"/>
      <c r="L34" s="130">
        <v>12.3</v>
      </c>
      <c r="M34" s="20">
        <f>M33+ExtratoBanco[[#This Row],[CRÉDITO]]-ExtratoBanco[[#This Row],[DÉBITO]]</f>
        <v>-143717.16999999987</v>
      </c>
      <c r="N34" s="132"/>
    </row>
    <row r="35" spans="1:14" ht="12.75" customHeight="1" x14ac:dyDescent="0.25">
      <c r="A35" s="128">
        <v>14</v>
      </c>
      <c r="B35" s="128"/>
      <c r="C35" s="17" t="s">
        <v>590</v>
      </c>
      <c r="D35" s="129">
        <v>45685</v>
      </c>
      <c r="E35" s="17" t="str">
        <f>VLOOKUP(A35,Base[],2,0)</f>
        <v>3.3.90.39.39 - ENCARGOS FINANCEIROS INDEDUTÍVEIS</v>
      </c>
      <c r="F35" s="17" t="str">
        <f>VLOOKUP(A35,Base!B:D,3,0)</f>
        <v>BANCO DO BRASIL</v>
      </c>
      <c r="G35" s="23">
        <f>VLOOKUP(A35,Base!B:H,4,0)</f>
        <v>191</v>
      </c>
      <c r="H35" s="51" t="str">
        <f>VLOOKUP($A35,Base[],5,0)</f>
        <v>AVISO DE DÉBITO</v>
      </c>
      <c r="I35" s="35"/>
      <c r="J35" s="51" t="str">
        <f>VLOOKUP(ExtratoBanco[[#This Row],[Nº]],Base!B:H,7,0)</f>
        <v>TARIFA BANCÁRIA</v>
      </c>
      <c r="K35" s="19"/>
      <c r="L35" s="130">
        <v>12.3</v>
      </c>
      <c r="M35" s="20">
        <f>M34+ExtratoBanco[[#This Row],[CRÉDITO]]-ExtratoBanco[[#This Row],[DÉBITO]]</f>
        <v>-143729.46999999986</v>
      </c>
      <c r="N35" s="132"/>
    </row>
    <row r="36" spans="1:14" ht="12.75" customHeight="1" x14ac:dyDescent="0.25">
      <c r="A36" s="128">
        <v>5</v>
      </c>
      <c r="B36" s="128"/>
      <c r="C36" s="17" t="s">
        <v>590</v>
      </c>
      <c r="D36" s="129">
        <v>45685</v>
      </c>
      <c r="E36" s="17" t="str">
        <f>VLOOKUP(A36,Base[],2,0)</f>
        <v>RESGATE APLICAÇÃO</v>
      </c>
      <c r="F36" s="17" t="str">
        <f>VLOOKUP(A36,Base!B:D,3,0)</f>
        <v>PALCOPARANÁ</v>
      </c>
      <c r="G36" s="23" t="str">
        <f>VLOOKUP(A36,Base!B:H,4,0)</f>
        <v>25.298.788/0001-95</v>
      </c>
      <c r="H36" s="51">
        <f>VLOOKUP($A36,Base[],5,0)</f>
        <v>0</v>
      </c>
      <c r="I36" s="35"/>
      <c r="J36" s="51" t="str">
        <f>VLOOKUP(ExtratoBanco[[#This Row],[Nº]],Base!B:H,7,0)</f>
        <v>RESGATE APLICAÇÃO</v>
      </c>
      <c r="K36" s="19">
        <v>144000</v>
      </c>
      <c r="L36" s="130"/>
      <c r="M36" s="20">
        <f>M35+ExtratoBanco[[#This Row],[CRÉDITO]]-ExtratoBanco[[#This Row],[DÉBITO]]</f>
        <v>270.53000000014435</v>
      </c>
      <c r="N36" s="132"/>
    </row>
    <row r="37" spans="1:14" ht="12.75" customHeight="1" x14ac:dyDescent="0.25">
      <c r="A37" s="128">
        <v>5</v>
      </c>
      <c r="B37" s="128"/>
      <c r="C37" s="17" t="s">
        <v>590</v>
      </c>
      <c r="D37" s="129">
        <v>45685</v>
      </c>
      <c r="E37" s="17" t="str">
        <f>VLOOKUP(A37,Base[],2,0)</f>
        <v>RESGATE APLICAÇÃO</v>
      </c>
      <c r="F37" s="17" t="str">
        <f>VLOOKUP(A37,Base!B:D,3,0)</f>
        <v>PALCOPARANÁ</v>
      </c>
      <c r="G37" s="23" t="str">
        <f>VLOOKUP(A37,Base!B:H,4,0)</f>
        <v>25.298.788/0001-95</v>
      </c>
      <c r="H37" s="51">
        <f>VLOOKUP($A37,Base[],5,0)</f>
        <v>0</v>
      </c>
      <c r="I37" s="35"/>
      <c r="J37" s="51" t="str">
        <f>VLOOKUP(ExtratoBanco[[#This Row],[Nº]],Base!B:H,7,0)</f>
        <v>RESGATE APLICAÇÃO</v>
      </c>
      <c r="K37" s="19">
        <v>1134.72</v>
      </c>
      <c r="L37" s="130"/>
      <c r="M37" s="20">
        <f>M36+ExtratoBanco[[#This Row],[CRÉDITO]]-ExtratoBanco[[#This Row],[DÉBITO]]</f>
        <v>1405.2500000001444</v>
      </c>
      <c r="N37" s="132"/>
    </row>
    <row r="38" spans="1:14" ht="12.75" customHeight="1" x14ac:dyDescent="0.25">
      <c r="A38" s="128">
        <v>4</v>
      </c>
      <c r="B38" s="128"/>
      <c r="C38" s="17" t="s">
        <v>590</v>
      </c>
      <c r="D38" s="129">
        <v>45686</v>
      </c>
      <c r="E38" s="17" t="str">
        <f>VLOOKUP(A38,Base[],2,0)</f>
        <v>3.3.90.39.47 - SERVIÇO DE COMUNICAÇÃO EM GERAL</v>
      </c>
      <c r="F38" s="17" t="str">
        <f>VLOOKUP(A38,Base!B:D,3,0)</f>
        <v>DPTO DE IMPRENSA OFICIAL ESTADO DO PARANÁ</v>
      </c>
      <c r="G38" s="23" t="str">
        <f>VLOOKUP(A38,Base!B:H,4,0)</f>
        <v>76.437.383/0001-21</v>
      </c>
      <c r="H38" s="51" t="str">
        <f>VLOOKUP($A38,Base[],5,0)</f>
        <v>NOTA FISCAL</v>
      </c>
      <c r="I38" s="35"/>
      <c r="J38" s="51" t="str">
        <f>VLOOKUP(ExtratoBanco[[#This Row],[Nº]],Base!B:H,7,0)</f>
        <v xml:space="preserve">PUBL. DIOE PROTOCOLO </v>
      </c>
      <c r="K38" s="19"/>
      <c r="L38" s="130">
        <v>1320</v>
      </c>
      <c r="M38" s="20">
        <f>M37+ExtratoBanco[[#This Row],[CRÉDITO]]-ExtratoBanco[[#This Row],[DÉBITO]]</f>
        <v>85.250000000144382</v>
      </c>
      <c r="N38" s="132"/>
    </row>
    <row r="39" spans="1:14" ht="12.75" customHeight="1" x14ac:dyDescent="0.25">
      <c r="A39" s="128">
        <v>1</v>
      </c>
      <c r="B39" s="128"/>
      <c r="C39" s="17" t="s">
        <v>590</v>
      </c>
      <c r="D39" s="129">
        <v>45687</v>
      </c>
      <c r="E39" s="17" t="str">
        <f>VLOOKUP(A39,Base[],2,0)</f>
        <v>3.1.90.11.61 - VENCIMENTOS E SALÁRIOS</v>
      </c>
      <c r="F39" s="17" t="str">
        <f>VLOOKUP(A39,Base!B:D,3,0)</f>
        <v>COLABORADORES DIVERSOS</v>
      </c>
      <c r="G39" s="23">
        <f>VLOOKUP(A39,Base!B:H,4,0)</f>
        <v>0</v>
      </c>
      <c r="H39" s="51" t="str">
        <f>VLOOKUP($A39,Base[],5,0)</f>
        <v>HOLERITE</v>
      </c>
      <c r="I39" s="35"/>
      <c r="J39" s="51" t="s">
        <v>611</v>
      </c>
      <c r="K39" s="19"/>
      <c r="L39" s="130">
        <v>116306.45</v>
      </c>
      <c r="M39" s="20">
        <f>M38+ExtratoBanco[[#This Row],[CRÉDITO]]-ExtratoBanco[[#This Row],[DÉBITO]]</f>
        <v>-116221.19999999985</v>
      </c>
      <c r="N39" s="132"/>
    </row>
    <row r="40" spans="1:14" ht="12.75" customHeight="1" x14ac:dyDescent="0.25">
      <c r="A40" s="128">
        <v>4</v>
      </c>
      <c r="B40" s="128"/>
      <c r="C40" s="17" t="s">
        <v>590</v>
      </c>
      <c r="D40" s="129">
        <v>45687</v>
      </c>
      <c r="E40" s="17" t="str">
        <f>VLOOKUP(A40,Base[],2,0)</f>
        <v>3.3.90.39.47 - SERVIÇO DE COMUNICAÇÃO EM GERAL</v>
      </c>
      <c r="F40" s="17" t="str">
        <f>VLOOKUP(A40,Base!B:D,3,0)</f>
        <v>DPTO DE IMPRENSA OFICIAL ESTADO DO PARANÁ</v>
      </c>
      <c r="G40" s="23" t="str">
        <f>VLOOKUP(A40,Base!B:H,4,0)</f>
        <v>76.437.383/0001-21</v>
      </c>
      <c r="H40" s="51" t="str">
        <f>VLOOKUP($A40,Base[],5,0)</f>
        <v>NOTA FISCAL</v>
      </c>
      <c r="I40" s="35"/>
      <c r="J40" s="51" t="str">
        <f>VLOOKUP(ExtratoBanco[[#This Row],[Nº]],Base!B:H,7,0)</f>
        <v xml:space="preserve">PUBL. DIOE PROTOCOLO </v>
      </c>
      <c r="K40" s="19"/>
      <c r="L40" s="130">
        <v>180</v>
      </c>
      <c r="M40" s="20">
        <f>M39+ExtratoBanco[[#This Row],[CRÉDITO]]-ExtratoBanco[[#This Row],[DÉBITO]]</f>
        <v>-116401.19999999985</v>
      </c>
      <c r="N40" s="132"/>
    </row>
    <row r="41" spans="1:14" ht="12.75" customHeight="1" x14ac:dyDescent="0.25">
      <c r="A41" s="128">
        <v>62</v>
      </c>
      <c r="B41" s="128"/>
      <c r="C41" s="17" t="s">
        <v>590</v>
      </c>
      <c r="D41" s="129">
        <v>45687</v>
      </c>
      <c r="E41" s="17" t="str">
        <f>VLOOKUP(A41,Base[],2,0)</f>
        <v>3.3.90.39.83 - SERVIÇOS DE CÓPIAS E REPRODUÇÃO DE DOCUMENTOS</v>
      </c>
      <c r="F41" s="17" t="str">
        <f>VLOOKUP(A41,Base!B:D,3,0)</f>
        <v xml:space="preserve">QUALIINFO INFORMATICA LTDA </v>
      </c>
      <c r="G41" s="23" t="str">
        <f>VLOOKUP(A41,Base!B:H,4,0)</f>
        <v>04.009.266/0001-56</v>
      </c>
      <c r="H41" s="51" t="str">
        <f>VLOOKUP($A41,Base[],5,0)</f>
        <v>NFS-e</v>
      </c>
      <c r="I41" s="35"/>
      <c r="J41" s="51" t="str">
        <f>VLOOKUP(ExtratoBanco[[#This Row],[Nº]],Base!B:H,7,0)</f>
        <v>SERVIÇOS LOCAÇÃO DE IMPRESSORA</v>
      </c>
      <c r="K41" s="19"/>
      <c r="L41" s="130">
        <v>713</v>
      </c>
      <c r="M41" s="20">
        <f>M40+ExtratoBanco[[#This Row],[CRÉDITO]]-ExtratoBanco[[#This Row],[DÉBITO]]</f>
        <v>-117114.19999999985</v>
      </c>
      <c r="N41" s="132"/>
    </row>
    <row r="42" spans="1:14" ht="12.75" customHeight="1" x14ac:dyDescent="0.25">
      <c r="A42" s="128">
        <v>5</v>
      </c>
      <c r="B42" s="128"/>
      <c r="C42" s="17" t="s">
        <v>590</v>
      </c>
      <c r="D42" s="129">
        <v>45687</v>
      </c>
      <c r="E42" s="17" t="str">
        <f>VLOOKUP(A42,Base[],2,0)</f>
        <v>RESGATE APLICAÇÃO</v>
      </c>
      <c r="F42" s="17" t="str">
        <f>VLOOKUP(A42,Base!B:D,3,0)</f>
        <v>PALCOPARANÁ</v>
      </c>
      <c r="G42" s="23" t="str">
        <f>VLOOKUP(A42,Base!B:H,4,0)</f>
        <v>25.298.788/0001-95</v>
      </c>
      <c r="H42" s="51">
        <f>VLOOKUP($A42,Base[],5,0)</f>
        <v>0</v>
      </c>
      <c r="I42" s="35"/>
      <c r="J42" s="51" t="str">
        <f>VLOOKUP(ExtratoBanco[[#This Row],[Nº]],Base!B:H,7,0)</f>
        <v>RESGATE APLICAÇÃO</v>
      </c>
      <c r="K42" s="19">
        <v>117500</v>
      </c>
      <c r="L42" s="130"/>
      <c r="M42" s="20">
        <f>M41+ExtratoBanco[[#This Row],[CRÉDITO]]-ExtratoBanco[[#This Row],[DÉBITO]]</f>
        <v>385.80000000014843</v>
      </c>
      <c r="N42" s="132"/>
    </row>
    <row r="43" spans="1:14" ht="12.75" customHeight="1" x14ac:dyDescent="0.25">
      <c r="A43" s="128">
        <v>5</v>
      </c>
      <c r="B43" s="128"/>
      <c r="C43" s="17" t="s">
        <v>590</v>
      </c>
      <c r="D43" s="129">
        <v>45687</v>
      </c>
      <c r="E43" s="17" t="str">
        <f>VLOOKUP(A43,Base[],2,0)</f>
        <v>RESGATE APLICAÇÃO</v>
      </c>
      <c r="F43" s="17" t="str">
        <f>VLOOKUP(A43,Base!B:D,3,0)</f>
        <v>PALCOPARANÁ</v>
      </c>
      <c r="G43" s="23" t="str">
        <f>VLOOKUP(A43,Base!B:H,4,0)</f>
        <v>25.298.788/0001-95</v>
      </c>
      <c r="H43" s="51">
        <f>VLOOKUP($A43,Base[],5,0)</f>
        <v>0</v>
      </c>
      <c r="I43" s="35"/>
      <c r="J43" s="51" t="str">
        <f>VLOOKUP(ExtratoBanco[[#This Row],[Nº]],Base!B:H,7,0)</f>
        <v>RESGATE APLICAÇÃO</v>
      </c>
      <c r="K43" s="19">
        <v>1029.3</v>
      </c>
      <c r="L43" s="130"/>
      <c r="M43" s="20">
        <f>M42+ExtratoBanco[[#This Row],[CRÉDITO]]-ExtratoBanco[[#This Row],[DÉBITO]]</f>
        <v>1415.1000000001484</v>
      </c>
      <c r="N43" s="132"/>
    </row>
    <row r="44" spans="1:14" ht="12.75" customHeight="1" x14ac:dyDescent="0.25">
      <c r="A44" s="128">
        <v>17</v>
      </c>
      <c r="B44" s="128"/>
      <c r="C44" s="17" t="s">
        <v>590</v>
      </c>
      <c r="D44" s="129">
        <v>45688</v>
      </c>
      <c r="E44" s="17" t="str">
        <f>VLOOKUP(A44,Base[],2,0)</f>
        <v>3.3.90.39.05 - SERVIÇOS TÉCNICOS PROFISSIONAIS</v>
      </c>
      <c r="F44" s="17" t="str">
        <f>VLOOKUP(A44,Base!B:D,3,0)</f>
        <v>MUNHOZ &amp; MUNHOZ S/S LTDA</v>
      </c>
      <c r="G44" s="23" t="str">
        <f>VLOOKUP(A44,Base!B:H,4,0)</f>
        <v>09.558.998/0001-19</v>
      </c>
      <c r="H44" s="51" t="str">
        <f>VLOOKUP($A44,Base[],5,0)</f>
        <v>NFS-e</v>
      </c>
      <c r="I44" s="35"/>
      <c r="J44" s="51" t="s">
        <v>612</v>
      </c>
      <c r="K44" s="19"/>
      <c r="L44" s="130">
        <v>3392.45</v>
      </c>
      <c r="M44" s="20">
        <f>M43+ExtratoBanco[[#This Row],[CRÉDITO]]-ExtratoBanco[[#This Row],[DÉBITO]]</f>
        <v>-1977.3499999998514</v>
      </c>
      <c r="N44" s="132"/>
    </row>
    <row r="45" spans="1:14" ht="12.75" customHeight="1" x14ac:dyDescent="0.25">
      <c r="A45" s="128">
        <v>52</v>
      </c>
      <c r="B45" s="128"/>
      <c r="C45" s="17" t="s">
        <v>593</v>
      </c>
      <c r="D45" s="129">
        <v>45688</v>
      </c>
      <c r="E45" s="17" t="str">
        <f>VLOOKUP(A45,Base[],2,0)</f>
        <v>3.3.90.34.23 - OUTROS CONTRATOS DE PESSOAL TERCEIRIZADO</v>
      </c>
      <c r="F45" s="17" t="s">
        <v>613</v>
      </c>
      <c r="G45" s="23">
        <f>VLOOKUP(A45,Base!B:H,4,0)</f>
        <v>0</v>
      </c>
      <c r="H45" s="51" t="str">
        <f>VLOOKUP($A45,Base[],5,0)</f>
        <v>NFS-e</v>
      </c>
      <c r="I45" s="35">
        <v>148</v>
      </c>
      <c r="J45" s="51" t="s">
        <v>614</v>
      </c>
      <c r="K45" s="19"/>
      <c r="L45" s="130">
        <v>7000</v>
      </c>
      <c r="M45" s="20">
        <f>M44+ExtratoBanco[[#This Row],[CRÉDITO]]-ExtratoBanco[[#This Row],[DÉBITO]]</f>
        <v>-8977.3499999998512</v>
      </c>
    </row>
    <row r="46" spans="1:14" ht="12.75" customHeight="1" x14ac:dyDescent="0.25">
      <c r="A46" s="128">
        <v>14</v>
      </c>
      <c r="B46" s="128"/>
      <c r="C46" s="17" t="s">
        <v>590</v>
      </c>
      <c r="D46" s="129">
        <v>45688</v>
      </c>
      <c r="E46" s="17" t="str">
        <f>VLOOKUP(A46,Base[],2,0)</f>
        <v>3.3.90.39.39 - ENCARGOS FINANCEIROS INDEDUTÍVEIS</v>
      </c>
      <c r="F46" s="17" t="str">
        <f>VLOOKUP(A46,Base!B:D,3,0)</f>
        <v>BANCO DO BRASIL</v>
      </c>
      <c r="G46" s="23">
        <f>VLOOKUP(A46,Base!B:H,4,0)</f>
        <v>191</v>
      </c>
      <c r="H46" s="51" t="str">
        <f>VLOOKUP($A46,Base[],5,0)</f>
        <v>AVISO DE DÉBITO</v>
      </c>
      <c r="I46" s="35"/>
      <c r="J46" s="51" t="str">
        <f>VLOOKUP(ExtratoBanco[[#This Row],[Nº]],Base!B:H,7,0)</f>
        <v>TARIFA BANCÁRIA</v>
      </c>
      <c r="K46" s="19"/>
      <c r="L46" s="130">
        <v>10</v>
      </c>
      <c r="M46" s="20">
        <f>M45+ExtratoBanco[[#This Row],[CRÉDITO]]-ExtratoBanco[[#This Row],[DÉBITO]]</f>
        <v>-8987.3499999998512</v>
      </c>
      <c r="N46" s="132"/>
    </row>
    <row r="47" spans="1:14" ht="12.75" customHeight="1" x14ac:dyDescent="0.25">
      <c r="A47" s="128">
        <v>5</v>
      </c>
      <c r="B47" s="128"/>
      <c r="C47" s="17" t="s">
        <v>590</v>
      </c>
      <c r="D47" s="129">
        <v>45688</v>
      </c>
      <c r="E47" s="17" t="str">
        <f>VLOOKUP(A47,Base[],2,0)</f>
        <v>RESGATE APLICAÇÃO</v>
      </c>
      <c r="F47" s="17" t="str">
        <f>VLOOKUP(A47,Base!B:D,3,0)</f>
        <v>PALCOPARANÁ</v>
      </c>
      <c r="G47" s="23" t="str">
        <f>VLOOKUP(A47,Base!B:H,4,0)</f>
        <v>25.298.788/0001-95</v>
      </c>
      <c r="H47" s="51">
        <f>VLOOKUP($A47,Base[],5,0)</f>
        <v>0</v>
      </c>
      <c r="I47" s="35"/>
      <c r="J47" s="51" t="str">
        <f>VLOOKUP(ExtratoBanco[[#This Row],[Nº]],Base!B:H,7,0)</f>
        <v>RESGATE APLICAÇÃO</v>
      </c>
      <c r="K47" s="19">
        <v>9000</v>
      </c>
      <c r="L47" s="130"/>
      <c r="M47" s="20">
        <f>M46+ExtratoBanco[[#This Row],[CRÉDITO]]-ExtratoBanco[[#This Row],[DÉBITO]]</f>
        <v>12.650000000148793</v>
      </c>
      <c r="N47" s="132"/>
    </row>
    <row r="48" spans="1:14" ht="12.75" customHeight="1" x14ac:dyDescent="0.25">
      <c r="A48" s="128">
        <v>5</v>
      </c>
      <c r="B48" s="128"/>
      <c r="C48" s="17" t="s">
        <v>590</v>
      </c>
      <c r="D48" s="129">
        <v>45688</v>
      </c>
      <c r="E48" s="17" t="str">
        <f>VLOOKUP(A48,Base[],2,0)</f>
        <v>RESGATE APLICAÇÃO</v>
      </c>
      <c r="F48" s="17" t="str">
        <f>VLOOKUP(A48,Base!B:D,3,0)</f>
        <v>PALCOPARANÁ</v>
      </c>
      <c r="G48" s="23" t="str">
        <f>VLOOKUP(A48,Base!B:H,4,0)</f>
        <v>25.298.788/0001-95</v>
      </c>
      <c r="H48" s="51">
        <f>VLOOKUP($A48,Base[],5,0)</f>
        <v>0</v>
      </c>
      <c r="I48" s="35"/>
      <c r="J48" s="51" t="str">
        <f>VLOOKUP(ExtratoBanco[[#This Row],[Nº]],Base!B:H,7,0)</f>
        <v>RESGATE APLICAÇÃO</v>
      </c>
      <c r="K48" s="19">
        <v>83.16</v>
      </c>
      <c r="L48" s="130"/>
      <c r="M48" s="20">
        <f>M47+ExtratoBanco[[#This Row],[CRÉDITO]]-ExtratoBanco[[#This Row],[DÉBITO]]</f>
        <v>95.81000000014879</v>
      </c>
      <c r="N48" s="132"/>
    </row>
    <row r="49" spans="1:14" ht="12.75" customHeight="1" x14ac:dyDescent="0.25">
      <c r="A49" s="128">
        <v>1</v>
      </c>
      <c r="B49" s="128"/>
      <c r="C49" s="17" t="s">
        <v>590</v>
      </c>
      <c r="D49" s="129">
        <v>45691</v>
      </c>
      <c r="E49" s="17" t="str">
        <f>VLOOKUP(A49,Base[],2,0)</f>
        <v>3.1.90.11.61 - VENCIMENTOS E SALÁRIOS</v>
      </c>
      <c r="F49" s="17" t="str">
        <f>VLOOKUP(A49,Base!B:D,3,0)</f>
        <v>COLABORADORES DIVERSOS</v>
      </c>
      <c r="G49" s="23">
        <f>VLOOKUP(A49,Base!B:H,4,0)</f>
        <v>0</v>
      </c>
      <c r="H49" s="51" t="str">
        <f>VLOOKUP($A49,Base[],5,0)</f>
        <v>HOLERITE</v>
      </c>
      <c r="I49" s="35"/>
      <c r="J49" s="51" t="s">
        <v>611</v>
      </c>
      <c r="K49" s="19"/>
      <c r="L49" s="130">
        <v>338.47</v>
      </c>
      <c r="M49" s="20">
        <f>M48+ExtratoBanco[[#This Row],[CRÉDITO]]-ExtratoBanco[[#This Row],[DÉBITO]]</f>
        <v>-242.65999999985124</v>
      </c>
      <c r="N49" s="132">
        <v>1</v>
      </c>
    </row>
    <row r="50" spans="1:14" ht="12.75" customHeight="1" x14ac:dyDescent="0.25">
      <c r="A50" s="128">
        <v>1</v>
      </c>
      <c r="B50" s="128"/>
      <c r="C50" s="17" t="s">
        <v>590</v>
      </c>
      <c r="D50" s="129">
        <v>45691</v>
      </c>
      <c r="E50" s="17" t="str">
        <f>VLOOKUP(A50,Base[],2,0)</f>
        <v>3.1.90.11.61 - VENCIMENTOS E SALÁRIOS</v>
      </c>
      <c r="F50" s="17" t="str">
        <f>VLOOKUP(A50,Base!B:D,3,0)</f>
        <v>COLABORADORES DIVERSOS</v>
      </c>
      <c r="G50" s="23">
        <f>VLOOKUP(A50,Base!B:H,4,0)</f>
        <v>0</v>
      </c>
      <c r="H50" s="51" t="str">
        <f>VLOOKUP($A50,Base[],5,0)</f>
        <v>HOLERITE</v>
      </c>
      <c r="I50" s="35"/>
      <c r="J50" s="51" t="s">
        <v>611</v>
      </c>
      <c r="K50" s="19"/>
      <c r="L50" s="130">
        <v>3085.71</v>
      </c>
      <c r="M50" s="20">
        <f>M49+ExtratoBanco[[#This Row],[CRÉDITO]]-ExtratoBanco[[#This Row],[DÉBITO]]</f>
        <v>-3328.3699999998512</v>
      </c>
      <c r="N50" s="132">
        <v>2</v>
      </c>
    </row>
    <row r="51" spans="1:14" ht="12.75" customHeight="1" x14ac:dyDescent="0.25">
      <c r="A51" s="128">
        <v>1</v>
      </c>
      <c r="B51" s="128"/>
      <c r="C51" s="17" t="s">
        <v>590</v>
      </c>
      <c r="D51" s="129">
        <v>45691</v>
      </c>
      <c r="E51" s="17" t="str">
        <f>VLOOKUP(A51,Base[],2,0)</f>
        <v>3.1.90.11.61 - VENCIMENTOS E SALÁRIOS</v>
      </c>
      <c r="F51" s="17" t="str">
        <f>VLOOKUP(A51,Base!B:D,3,0)</f>
        <v>COLABORADORES DIVERSOS</v>
      </c>
      <c r="G51" s="23">
        <f>VLOOKUP(A51,Base!B:H,4,0)</f>
        <v>0</v>
      </c>
      <c r="H51" s="51" t="str">
        <f>VLOOKUP($A51,Base[],5,0)</f>
        <v>HOLERITE</v>
      </c>
      <c r="I51" s="35"/>
      <c r="J51" s="51" t="s">
        <v>611</v>
      </c>
      <c r="K51" s="19"/>
      <c r="L51" s="130">
        <v>241.76</v>
      </c>
      <c r="M51" s="20">
        <f>M50+ExtratoBanco[[#This Row],[CRÉDITO]]-ExtratoBanco[[#This Row],[DÉBITO]]</f>
        <v>-3570.129999999851</v>
      </c>
      <c r="N51" s="132">
        <v>3</v>
      </c>
    </row>
    <row r="52" spans="1:14" ht="12.75" customHeight="1" x14ac:dyDescent="0.25">
      <c r="A52" s="128">
        <v>5</v>
      </c>
      <c r="B52" s="128"/>
      <c r="C52" s="17" t="s">
        <v>590</v>
      </c>
      <c r="D52" s="129">
        <v>45691</v>
      </c>
      <c r="E52" s="17" t="str">
        <f>VLOOKUP(A52,Base[],2,0)</f>
        <v>RESGATE APLICAÇÃO</v>
      </c>
      <c r="F52" s="17" t="str">
        <f>VLOOKUP(A52,Base!B:D,3,0)</f>
        <v>PALCOPARANÁ</v>
      </c>
      <c r="G52" s="23" t="str">
        <f>VLOOKUP(A52,Base!B:H,4,0)</f>
        <v>25.298.788/0001-95</v>
      </c>
      <c r="H52" s="51">
        <f>VLOOKUP($A52,Base[],5,0)</f>
        <v>0</v>
      </c>
      <c r="I52" s="35"/>
      <c r="J52" s="51" t="str">
        <f>VLOOKUP(ExtratoBanco[[#This Row],[Nº]],Base!B:H,7,0)</f>
        <v>RESGATE APLICAÇÃO</v>
      </c>
      <c r="K52" s="19">
        <v>4000</v>
      </c>
      <c r="L52" s="130"/>
      <c r="M52" s="20">
        <f>M51+ExtratoBanco[[#This Row],[CRÉDITO]]-ExtratoBanco[[#This Row],[DÉBITO]]</f>
        <v>429.87000000014905</v>
      </c>
      <c r="N52" s="132"/>
    </row>
    <row r="53" spans="1:14" ht="12.75" customHeight="1" x14ac:dyDescent="0.25">
      <c r="A53" s="128">
        <v>5</v>
      </c>
      <c r="B53" s="128"/>
      <c r="C53" s="17" t="s">
        <v>590</v>
      </c>
      <c r="D53" s="129">
        <v>45691</v>
      </c>
      <c r="E53" s="17" t="str">
        <f>VLOOKUP(A53,Base[],2,0)</f>
        <v>RESGATE APLICAÇÃO</v>
      </c>
      <c r="F53" s="17" t="str">
        <f>VLOOKUP(A53,Base!B:D,3,0)</f>
        <v>PALCOPARANÁ</v>
      </c>
      <c r="G53" s="23" t="str">
        <f>VLOOKUP(A53,Base!B:H,4,0)</f>
        <v>25.298.788/0001-95</v>
      </c>
      <c r="H53" s="51">
        <f>VLOOKUP($A53,Base[],5,0)</f>
        <v>0</v>
      </c>
      <c r="I53" s="35"/>
      <c r="J53" s="51" t="str">
        <f>VLOOKUP(ExtratoBanco[[#This Row],[Nº]],Base!B:H,7,0)</f>
        <v>RESGATE APLICAÇÃO</v>
      </c>
      <c r="K53" s="19">
        <v>38.880000000000003</v>
      </c>
      <c r="L53" s="130"/>
      <c r="M53" s="20">
        <f>M52+ExtratoBanco[[#This Row],[CRÉDITO]]-ExtratoBanco[[#This Row],[DÉBITO]]</f>
        <v>468.75000000014904</v>
      </c>
      <c r="N53" s="132"/>
    </row>
    <row r="54" spans="1:14" ht="12.75" customHeight="1" x14ac:dyDescent="0.25">
      <c r="A54" s="128">
        <v>4</v>
      </c>
      <c r="B54" s="128"/>
      <c r="C54" s="17" t="s">
        <v>590</v>
      </c>
      <c r="D54" s="129">
        <v>45692</v>
      </c>
      <c r="E54" s="17" t="str">
        <f>VLOOKUP(A54,Base[],2,0)</f>
        <v>3.3.90.39.47 - SERVIÇO DE COMUNICAÇÃO EM GERAL</v>
      </c>
      <c r="F54" s="17" t="str">
        <f>VLOOKUP(A54,Base!B:D,3,0)</f>
        <v>DPTO DE IMPRENSA OFICIAL ESTADO DO PARANÁ</v>
      </c>
      <c r="G54" s="23" t="str">
        <f>VLOOKUP(A54,Base!B:H,4,0)</f>
        <v>76.437.383/0001-21</v>
      </c>
      <c r="H54" s="51" t="str">
        <f>VLOOKUP($A54,Base[],5,0)</f>
        <v>NOTA FISCAL</v>
      </c>
      <c r="I54" s="35"/>
      <c r="J54" s="51" t="str">
        <f>VLOOKUP(ExtratoBanco[[#This Row],[Nº]],Base!B:H,7,0)</f>
        <v xml:space="preserve">PUBL. DIOE PROTOCOLO </v>
      </c>
      <c r="K54" s="19"/>
      <c r="L54" s="130">
        <v>210</v>
      </c>
      <c r="M54" s="20">
        <f>M53+ExtratoBanco[[#This Row],[CRÉDITO]]-ExtratoBanco[[#This Row],[DÉBITO]]</f>
        <v>258.75000000014904</v>
      </c>
      <c r="N54" s="132">
        <v>4</v>
      </c>
    </row>
    <row r="55" spans="1:14" ht="12.75" customHeight="1" x14ac:dyDescent="0.25">
      <c r="A55" s="128">
        <v>1</v>
      </c>
      <c r="B55" s="128"/>
      <c r="C55" s="17" t="s">
        <v>590</v>
      </c>
      <c r="D55" s="129">
        <v>45692</v>
      </c>
      <c r="E55" s="17" t="str">
        <f>VLOOKUP(A55,Base[],2,0)</f>
        <v>3.1.90.11.61 - VENCIMENTOS E SALÁRIOS</v>
      </c>
      <c r="F55" s="17" t="str">
        <f>VLOOKUP(A55,Base!B:D,3,0)</f>
        <v>COLABORADORES DIVERSOS</v>
      </c>
      <c r="G55" s="23">
        <f>VLOOKUP(A55,Base!B:H,4,0)</f>
        <v>0</v>
      </c>
      <c r="H55" s="51" t="str">
        <f>VLOOKUP($A55,Base[],5,0)</f>
        <v>HOLERITE</v>
      </c>
      <c r="I55" s="35"/>
      <c r="J55" s="51" t="s">
        <v>611</v>
      </c>
      <c r="K55" s="19"/>
      <c r="L55" s="130">
        <v>441.75</v>
      </c>
      <c r="M55" s="20">
        <f>M54+ExtratoBanco[[#This Row],[CRÉDITO]]-ExtratoBanco[[#This Row],[DÉBITO]]</f>
        <v>-182.99999999985096</v>
      </c>
      <c r="N55" s="132">
        <v>5</v>
      </c>
    </row>
    <row r="56" spans="1:14" ht="12.75" customHeight="1" x14ac:dyDescent="0.25">
      <c r="A56" s="128">
        <v>5</v>
      </c>
      <c r="B56" s="128"/>
      <c r="C56" s="17" t="s">
        <v>590</v>
      </c>
      <c r="D56" s="129">
        <v>45692</v>
      </c>
      <c r="E56" s="17" t="str">
        <f>VLOOKUP(A56,Base[],2,0)</f>
        <v>RESGATE APLICAÇÃO</v>
      </c>
      <c r="F56" s="17" t="str">
        <f>VLOOKUP(A56,Base!B:D,3,0)</f>
        <v>PALCOPARANÁ</v>
      </c>
      <c r="G56" s="23" t="str">
        <f>VLOOKUP(A56,Base!B:H,4,0)</f>
        <v>25.298.788/0001-95</v>
      </c>
      <c r="H56" s="51">
        <f>VLOOKUP($A56,Base[],5,0)</f>
        <v>0</v>
      </c>
      <c r="I56" s="35"/>
      <c r="J56" s="51" t="str">
        <f>VLOOKUP(ExtratoBanco[[#This Row],[Nº]],Base!B:H,7,0)</f>
        <v>RESGATE APLICAÇÃO</v>
      </c>
      <c r="K56" s="19">
        <v>500</v>
      </c>
      <c r="L56" s="130"/>
      <c r="M56" s="20">
        <f>M55+ExtratoBanco[[#This Row],[CRÉDITO]]-ExtratoBanco[[#This Row],[DÉBITO]]</f>
        <v>317.00000000014904</v>
      </c>
      <c r="N56" s="132"/>
    </row>
    <row r="57" spans="1:14" ht="12.75" customHeight="1" x14ac:dyDescent="0.25">
      <c r="A57" s="128">
        <v>5</v>
      </c>
      <c r="B57" s="128"/>
      <c r="C57" s="17" t="s">
        <v>590</v>
      </c>
      <c r="D57" s="129">
        <v>45692</v>
      </c>
      <c r="E57" s="17" t="str">
        <f>VLOOKUP(A57,Base[],2,0)</f>
        <v>RESGATE APLICAÇÃO</v>
      </c>
      <c r="F57" s="17" t="str">
        <f>VLOOKUP(A57,Base!B:D,3,0)</f>
        <v>PALCOPARANÁ</v>
      </c>
      <c r="G57" s="23" t="str">
        <f>VLOOKUP(A57,Base!B:H,4,0)</f>
        <v>25.298.788/0001-95</v>
      </c>
      <c r="H57" s="51">
        <f>VLOOKUP($A57,Base[],5,0)</f>
        <v>0</v>
      </c>
      <c r="I57" s="35"/>
      <c r="J57" s="51" t="str">
        <f>VLOOKUP(ExtratoBanco[[#This Row],[Nº]],Base!B:H,7,0)</f>
        <v>RESGATE APLICAÇÃO</v>
      </c>
      <c r="K57" s="19">
        <v>5.0999999999999996</v>
      </c>
      <c r="L57" s="130"/>
      <c r="M57" s="20">
        <f>M56+ExtratoBanco[[#This Row],[CRÉDITO]]-ExtratoBanco[[#This Row],[DÉBITO]]</f>
        <v>322.10000000014907</v>
      </c>
      <c r="N57" s="132"/>
    </row>
    <row r="58" spans="1:14" ht="12.75" customHeight="1" x14ac:dyDescent="0.25">
      <c r="A58" s="128">
        <v>45</v>
      </c>
      <c r="B58" s="128"/>
      <c r="C58" s="17" t="s">
        <v>590</v>
      </c>
      <c r="D58" s="129">
        <v>45699</v>
      </c>
      <c r="E58" s="17" t="str">
        <f>VLOOKUP(A58,Base[],2,0)</f>
        <v>3.3.90.46.03 - AUXÍLIO-ALIMENTAÇÃO</v>
      </c>
      <c r="F58" s="17" t="str">
        <f>VLOOKUP(A58,Base!B:D,3,0)</f>
        <v>GIMAVE - MEIOS DE PAGAMENTOS E INFORMACOES LTDA</v>
      </c>
      <c r="G58" s="23" t="str">
        <f>VLOOKUP(A58,Base!B:H,4,0)</f>
        <v>05.989.476/0001-10</v>
      </c>
      <c r="H58" s="51" t="str">
        <f>VLOOKUP($A58,Base[],5,0)</f>
        <v>NFS-e</v>
      </c>
      <c r="I58" s="35"/>
      <c r="J58" s="51" t="s">
        <v>615</v>
      </c>
      <c r="K58" s="19"/>
      <c r="L58" s="130">
        <v>25200.799999999999</v>
      </c>
      <c r="M58" s="20">
        <f>M57+ExtratoBanco[[#This Row],[CRÉDITO]]-ExtratoBanco[[#This Row],[DÉBITO]]</f>
        <v>-24878.699999999852</v>
      </c>
      <c r="N58" s="132">
        <v>6</v>
      </c>
    </row>
    <row r="59" spans="1:14" ht="12.75" customHeight="1" x14ac:dyDescent="0.25">
      <c r="A59" s="128">
        <v>4</v>
      </c>
      <c r="B59" s="128"/>
      <c r="C59" s="17" t="s">
        <v>590</v>
      </c>
      <c r="D59" s="129">
        <v>45699</v>
      </c>
      <c r="E59" s="17" t="str">
        <f>VLOOKUP(A59,Base[],2,0)</f>
        <v>3.3.90.39.47 - SERVIÇO DE COMUNICAÇÃO EM GERAL</v>
      </c>
      <c r="F59" s="17" t="str">
        <f>VLOOKUP(A59,Base!B:D,3,0)</f>
        <v>DPTO DE IMPRENSA OFICIAL ESTADO DO PARANÁ</v>
      </c>
      <c r="G59" s="23" t="str">
        <f>VLOOKUP(A59,Base!B:H,4,0)</f>
        <v>76.437.383/0001-21</v>
      </c>
      <c r="H59" s="51" t="str">
        <f>VLOOKUP($A59,Base[],5,0)</f>
        <v>NOTA FISCAL</v>
      </c>
      <c r="I59" s="35"/>
      <c r="J59" s="51" t="str">
        <f>VLOOKUP(ExtratoBanco[[#This Row],[Nº]],Base!B:H,7,0)</f>
        <v xml:space="preserve">PUBL. DIOE PROTOCOLO </v>
      </c>
      <c r="K59" s="19"/>
      <c r="L59" s="130">
        <v>1560</v>
      </c>
      <c r="M59" s="20">
        <f>M58+ExtratoBanco[[#This Row],[CRÉDITO]]-ExtratoBanco[[#This Row],[DÉBITO]]</f>
        <v>-26438.699999999852</v>
      </c>
      <c r="N59" s="132">
        <v>7</v>
      </c>
    </row>
    <row r="60" spans="1:14" ht="12.75" customHeight="1" x14ac:dyDescent="0.25">
      <c r="A60" s="128">
        <v>45</v>
      </c>
      <c r="B60" s="128"/>
      <c r="C60" s="17" t="s">
        <v>590</v>
      </c>
      <c r="D60" s="129">
        <v>45699</v>
      </c>
      <c r="E60" s="17" t="str">
        <f>VLOOKUP(A60,Base[],2,0)</f>
        <v>3.3.90.46.03 - AUXÍLIO-ALIMENTAÇÃO</v>
      </c>
      <c r="F60" s="17" t="str">
        <f>VLOOKUP(A60,Base!B:D,3,0)</f>
        <v>GIMAVE - MEIOS DE PAGAMENTOS E INFORMACOES LTDA</v>
      </c>
      <c r="G60" s="23" t="str">
        <f>VLOOKUP(A60,Base!B:H,4,0)</f>
        <v>05.989.476/0001-10</v>
      </c>
      <c r="H60" s="51" t="str">
        <f>VLOOKUP($A60,Base[],5,0)</f>
        <v>NFS-e</v>
      </c>
      <c r="I60" s="35"/>
      <c r="J60" s="51" t="s">
        <v>616</v>
      </c>
      <c r="K60" s="19"/>
      <c r="L60" s="130">
        <v>1635</v>
      </c>
      <c r="M60" s="20">
        <f>M59+ExtratoBanco[[#This Row],[CRÉDITO]]-ExtratoBanco[[#This Row],[DÉBITO]]</f>
        <v>-28073.699999999852</v>
      </c>
      <c r="N60" s="132">
        <v>8</v>
      </c>
    </row>
    <row r="61" spans="1:14" ht="12.75" customHeight="1" x14ac:dyDescent="0.25">
      <c r="A61" s="128">
        <v>5</v>
      </c>
      <c r="B61" s="128"/>
      <c r="C61" s="17" t="s">
        <v>590</v>
      </c>
      <c r="D61" s="129">
        <v>45699</v>
      </c>
      <c r="E61" s="17" t="str">
        <f>VLOOKUP(A61,Base[],2,0)</f>
        <v>RESGATE APLICAÇÃO</v>
      </c>
      <c r="F61" s="17" t="str">
        <f>VLOOKUP(A61,Base!B:D,3,0)</f>
        <v>PALCOPARANÁ</v>
      </c>
      <c r="G61" s="23" t="str">
        <f>VLOOKUP(A61,Base!B:H,4,0)</f>
        <v>25.298.788/0001-95</v>
      </c>
      <c r="H61" s="51">
        <f>VLOOKUP($A61,Base[],5,0)</f>
        <v>0</v>
      </c>
      <c r="I61" s="35"/>
      <c r="J61" s="51" t="str">
        <f>VLOOKUP(ExtratoBanco[[#This Row],[Nº]],Base!B:H,7,0)</f>
        <v>RESGATE APLICAÇÃO</v>
      </c>
      <c r="K61" s="19">
        <v>28500</v>
      </c>
      <c r="L61" s="130"/>
      <c r="M61" s="20">
        <f>M60+ExtratoBanco[[#This Row],[CRÉDITO]]-ExtratoBanco[[#This Row],[DÉBITO]]</f>
        <v>426.30000000014843</v>
      </c>
      <c r="N61" s="132"/>
    </row>
    <row r="62" spans="1:14" ht="12.75" customHeight="1" x14ac:dyDescent="0.25">
      <c r="A62" s="128">
        <v>5</v>
      </c>
      <c r="B62" s="128"/>
      <c r="C62" s="17" t="s">
        <v>590</v>
      </c>
      <c r="D62" s="129">
        <v>45699</v>
      </c>
      <c r="E62" s="17" t="str">
        <f>VLOOKUP(A62,Base[],2,0)</f>
        <v>RESGATE APLICAÇÃO</v>
      </c>
      <c r="F62" s="17" t="str">
        <f>VLOOKUP(A62,Base!B:D,3,0)</f>
        <v>PALCOPARANÁ</v>
      </c>
      <c r="G62" s="23" t="str">
        <f>VLOOKUP(A62,Base!B:H,4,0)</f>
        <v>25.298.788/0001-95</v>
      </c>
      <c r="H62" s="51">
        <f>VLOOKUP($A62,Base[],5,0)</f>
        <v>0</v>
      </c>
      <c r="I62" s="35"/>
      <c r="J62" s="51" t="str">
        <f>VLOOKUP(ExtratoBanco[[#This Row],[Nº]],Base!B:H,7,0)</f>
        <v>RESGATE APLICAÇÃO</v>
      </c>
      <c r="K62" s="19">
        <v>358.53</v>
      </c>
      <c r="L62" s="130"/>
      <c r="M62" s="20">
        <f>M61+ExtratoBanco[[#This Row],[CRÉDITO]]-ExtratoBanco[[#This Row],[DÉBITO]]</f>
        <v>784.8300000001484</v>
      </c>
      <c r="N62" s="132"/>
    </row>
    <row r="63" spans="1:14" ht="12.75" customHeight="1" x14ac:dyDescent="0.25">
      <c r="A63" s="128">
        <v>4</v>
      </c>
      <c r="B63" s="128"/>
      <c r="C63" s="17" t="s">
        <v>590</v>
      </c>
      <c r="D63" s="129">
        <v>45699</v>
      </c>
      <c r="E63" s="17" t="str">
        <f>VLOOKUP(A63,Base[],2,0)</f>
        <v>3.3.90.39.47 - SERVIÇO DE COMUNICAÇÃO EM GERAL</v>
      </c>
      <c r="F63" s="17" t="str">
        <f>VLOOKUP(A63,Base!B:D,3,0)</f>
        <v>DPTO DE IMPRENSA OFICIAL ESTADO DO PARANÁ</v>
      </c>
      <c r="G63" s="23" t="str">
        <f>VLOOKUP(A63,Base!B:H,4,0)</f>
        <v>76.437.383/0001-21</v>
      </c>
      <c r="H63" s="51" t="str">
        <f>VLOOKUP($A63,Base[],5,0)</f>
        <v>NOTA FISCAL</v>
      </c>
      <c r="I63" s="35"/>
      <c r="J63" s="51" t="str">
        <f>VLOOKUP(ExtratoBanco[[#This Row],[Nº]],Base!B:H,7,0)</f>
        <v xml:space="preserve">PUBL. DIOE PROTOCOLO </v>
      </c>
      <c r="K63" s="19"/>
      <c r="L63" s="130">
        <v>4230</v>
      </c>
      <c r="M63" s="20">
        <f>M62+ExtratoBanco[[#This Row],[CRÉDITO]]-ExtratoBanco[[#This Row],[DÉBITO]]</f>
        <v>-3445.1699999998518</v>
      </c>
      <c r="N63" s="132">
        <v>9</v>
      </c>
    </row>
    <row r="64" spans="1:14" ht="12.75" customHeight="1" x14ac:dyDescent="0.25">
      <c r="A64" s="128">
        <v>5</v>
      </c>
      <c r="B64" s="128"/>
      <c r="C64" s="17" t="s">
        <v>590</v>
      </c>
      <c r="D64" s="129">
        <v>45700</v>
      </c>
      <c r="E64" s="17" t="str">
        <f>VLOOKUP(A64,Base[],2,0)</f>
        <v>RESGATE APLICAÇÃO</v>
      </c>
      <c r="F64" s="17" t="str">
        <f>VLOOKUP(A64,Base!B:D,3,0)</f>
        <v>PALCOPARANÁ</v>
      </c>
      <c r="G64" s="23" t="str">
        <f>VLOOKUP(A64,Base!B:H,4,0)</f>
        <v>25.298.788/0001-95</v>
      </c>
      <c r="H64" s="51">
        <f>VLOOKUP($A64,Base[],5,0)</f>
        <v>0</v>
      </c>
      <c r="I64" s="35"/>
      <c r="J64" s="51" t="str">
        <f>VLOOKUP(ExtratoBanco[[#This Row],[Nº]],Base!B:H,7,0)</f>
        <v>RESGATE APLICAÇÃO</v>
      </c>
      <c r="K64" s="19">
        <v>3500</v>
      </c>
      <c r="L64" s="130"/>
      <c r="M64" s="20">
        <f>M63+ExtratoBanco[[#This Row],[CRÉDITO]]-ExtratoBanco[[#This Row],[DÉBITO]]</f>
        <v>54.830000000148175</v>
      </c>
      <c r="N64" s="132"/>
    </row>
    <row r="65" spans="1:14" ht="12.75" customHeight="1" x14ac:dyDescent="0.25">
      <c r="A65" s="128">
        <v>5</v>
      </c>
      <c r="B65" s="128"/>
      <c r="C65" s="17" t="s">
        <v>590</v>
      </c>
      <c r="D65" s="129">
        <v>45700</v>
      </c>
      <c r="E65" s="17" t="str">
        <f>VLOOKUP(A65,Base[],2,0)</f>
        <v>RESGATE APLICAÇÃO</v>
      </c>
      <c r="F65" s="17" t="str">
        <f>VLOOKUP(A65,Base!B:D,3,0)</f>
        <v>PALCOPARANÁ</v>
      </c>
      <c r="G65" s="23" t="str">
        <f>VLOOKUP(A65,Base!B:H,4,0)</f>
        <v>25.298.788/0001-95</v>
      </c>
      <c r="H65" s="51">
        <f>VLOOKUP($A65,Base[],5,0)</f>
        <v>0</v>
      </c>
      <c r="I65" s="35"/>
      <c r="J65" s="51" t="str">
        <f>VLOOKUP(ExtratoBanco[[#This Row],[Nº]],Base!B:H,7,0)</f>
        <v>RESGATE APLICAÇÃO</v>
      </c>
      <c r="K65" s="19">
        <v>45.64</v>
      </c>
      <c r="L65" s="130"/>
      <c r="M65" s="20">
        <f>M64+ExtratoBanco[[#This Row],[CRÉDITO]]-ExtratoBanco[[#This Row],[DÉBITO]]</f>
        <v>100.47000000014818</v>
      </c>
      <c r="N65" s="132"/>
    </row>
    <row r="66" spans="1:14" ht="12.75" customHeight="1" x14ac:dyDescent="0.25">
      <c r="A66" s="128">
        <v>52</v>
      </c>
      <c r="B66" s="128"/>
      <c r="C66" s="17" t="s">
        <v>593</v>
      </c>
      <c r="D66" s="129">
        <v>45700</v>
      </c>
      <c r="E66" s="17" t="str">
        <f>VLOOKUP(A66,Base[],2,0)</f>
        <v>3.3.90.34.23 - OUTROS CONTRATOS DE PESSOAL TERCEIRIZADO</v>
      </c>
      <c r="F66" s="17" t="s">
        <v>600</v>
      </c>
      <c r="G66" s="23" t="s">
        <v>617</v>
      </c>
      <c r="H66" s="51" t="str">
        <f>VLOOKUP($A66,Base[],5,0)</f>
        <v>NFS-e</v>
      </c>
      <c r="I66" s="35">
        <v>52</v>
      </c>
      <c r="J66" s="51" t="s">
        <v>601</v>
      </c>
      <c r="K66" s="19"/>
      <c r="L66" s="130">
        <v>6000</v>
      </c>
      <c r="M66" s="20">
        <f>M65+ExtratoBanco[[#This Row],[CRÉDITO]]-ExtratoBanco[[#This Row],[DÉBITO]]</f>
        <v>-5899.5299999998515</v>
      </c>
      <c r="N66" s="132">
        <v>10</v>
      </c>
    </row>
    <row r="67" spans="1:14" ht="12.75" customHeight="1" x14ac:dyDescent="0.25">
      <c r="A67" s="128">
        <v>52</v>
      </c>
      <c r="B67" s="128"/>
      <c r="C67" s="17" t="s">
        <v>593</v>
      </c>
      <c r="D67" s="129">
        <v>45700</v>
      </c>
      <c r="E67" s="17" t="str">
        <f>VLOOKUP(A67,Base[],2,0)</f>
        <v>3.3.90.34.23 - OUTROS CONTRATOS DE PESSOAL TERCEIRIZADO</v>
      </c>
      <c r="F67" s="17" t="s">
        <v>618</v>
      </c>
      <c r="G67" s="23" t="s">
        <v>602</v>
      </c>
      <c r="H67" s="51" t="str">
        <f>VLOOKUP($A67,Base[],5,0)</f>
        <v>NFS-e</v>
      </c>
      <c r="I67" s="35">
        <v>391</v>
      </c>
      <c r="J67" s="51" t="s">
        <v>619</v>
      </c>
      <c r="K67" s="19"/>
      <c r="L67" s="130">
        <v>18750</v>
      </c>
      <c r="M67" s="20">
        <f>M66+ExtratoBanco[[#This Row],[CRÉDITO]]-ExtratoBanco[[#This Row],[DÉBITO]]</f>
        <v>-24649.529999999853</v>
      </c>
      <c r="N67" s="132">
        <v>11</v>
      </c>
    </row>
    <row r="68" spans="1:14" ht="12.75" customHeight="1" x14ac:dyDescent="0.25">
      <c r="A68" s="128">
        <v>14</v>
      </c>
      <c r="B68" s="128"/>
      <c r="C68" s="17" t="s">
        <v>592</v>
      </c>
      <c r="D68" s="129">
        <v>45700</v>
      </c>
      <c r="E68" s="17" t="str">
        <f>VLOOKUP(A68,Base[],2,0)</f>
        <v>3.3.90.39.39 - ENCARGOS FINANCEIROS INDEDUTÍVEIS</v>
      </c>
      <c r="F68" s="17" t="str">
        <f>VLOOKUP(A68,Base!B:D,3,0)</f>
        <v>BANCO DO BRASIL</v>
      </c>
      <c r="G68" s="23">
        <f>VLOOKUP(A68,Base!B:H,4,0)</f>
        <v>191</v>
      </c>
      <c r="H68" s="51" t="str">
        <f>VLOOKUP($A68,Base[],5,0)</f>
        <v>AVISO DE DÉBITO</v>
      </c>
      <c r="I68" s="35"/>
      <c r="J68" s="51" t="str">
        <f>VLOOKUP(ExtratoBanco[[#This Row],[Nº]],Base!B:H,7,0)</f>
        <v>TARIFA BANCÁRIA</v>
      </c>
      <c r="K68" s="19"/>
      <c r="L68" s="130">
        <v>10</v>
      </c>
      <c r="M68" s="20">
        <f>M67+ExtratoBanco[[#This Row],[CRÉDITO]]-ExtratoBanco[[#This Row],[DÉBITO]]</f>
        <v>-24659.529999999853</v>
      </c>
      <c r="N68" s="132"/>
    </row>
    <row r="69" spans="1:14" ht="12.75" customHeight="1" x14ac:dyDescent="0.25">
      <c r="A69" s="128">
        <v>5</v>
      </c>
      <c r="B69" s="128"/>
      <c r="C69" s="17" t="s">
        <v>590</v>
      </c>
      <c r="D69" s="129">
        <v>45706</v>
      </c>
      <c r="E69" s="17" t="str">
        <f>VLOOKUP(A69,Base[],2,0)</f>
        <v>RESGATE APLICAÇÃO</v>
      </c>
      <c r="F69" s="17" t="str">
        <f>VLOOKUP(A69,Base!B:D,3,0)</f>
        <v>PALCOPARANÁ</v>
      </c>
      <c r="G69" s="23" t="str">
        <f>VLOOKUP(A69,Base!B:H,4,0)</f>
        <v>25.298.788/0001-95</v>
      </c>
      <c r="H69" s="51">
        <f>VLOOKUP($A69,Base[],5,0)</f>
        <v>0</v>
      </c>
      <c r="I69" s="35"/>
      <c r="J69" s="51" t="str">
        <f>VLOOKUP(ExtratoBanco[[#This Row],[Nº]],Base!B:H,7,0)</f>
        <v>RESGATE APLICAÇÃO</v>
      </c>
      <c r="K69" s="19">
        <v>25000</v>
      </c>
      <c r="L69" s="130"/>
      <c r="M69" s="20">
        <f>M68+ExtratoBanco[[#This Row],[CRÉDITO]]-ExtratoBanco[[#This Row],[DÉBITO]]</f>
        <v>340.47000000014668</v>
      </c>
      <c r="N69" s="132"/>
    </row>
    <row r="70" spans="1:14" ht="12.75" customHeight="1" x14ac:dyDescent="0.25">
      <c r="A70" s="128">
        <v>5</v>
      </c>
      <c r="B70" s="128"/>
      <c r="C70" s="17" t="s">
        <v>590</v>
      </c>
      <c r="D70" s="129">
        <v>45706</v>
      </c>
      <c r="E70" s="17" t="str">
        <f>VLOOKUP(A70,Base[],2,0)</f>
        <v>RESGATE APLICAÇÃO</v>
      </c>
      <c r="F70" s="17" t="str">
        <f>VLOOKUP(A70,Base!B:D,3,0)</f>
        <v>PALCOPARANÁ</v>
      </c>
      <c r="G70" s="23" t="str">
        <f>VLOOKUP(A70,Base!B:H,4,0)</f>
        <v>25.298.788/0001-95</v>
      </c>
      <c r="H70" s="51">
        <f>VLOOKUP($A70,Base[],5,0)</f>
        <v>0</v>
      </c>
      <c r="I70" s="35"/>
      <c r="J70" s="51" t="str">
        <f>VLOOKUP(ExtratoBanco[[#This Row],[Nº]],Base!B:H,7,0)</f>
        <v>RESGATE APLICAÇÃO</v>
      </c>
      <c r="K70" s="19">
        <v>374</v>
      </c>
      <c r="L70" s="130"/>
      <c r="M70" s="20">
        <f>M69+ExtratoBanco[[#This Row],[CRÉDITO]]-ExtratoBanco[[#This Row],[DÉBITO]]</f>
        <v>714.47000000014668</v>
      </c>
      <c r="N70" s="132"/>
    </row>
    <row r="71" spans="1:14" ht="12.75" customHeight="1" x14ac:dyDescent="0.25">
      <c r="A71" s="128">
        <v>10</v>
      </c>
      <c r="B71" s="128"/>
      <c r="C71" s="17" t="s">
        <v>590</v>
      </c>
      <c r="D71" s="129">
        <v>45707</v>
      </c>
      <c r="E71" s="17" t="str">
        <f>VLOOKUP(A71,Base[],2,0)</f>
        <v>3.1.90.13.02 - FGTS</v>
      </c>
      <c r="F71" s="17" t="str">
        <f>VLOOKUP(A71,Base!B:D,3,0)</f>
        <v>CAIXA ECONÔMICA FEDERAL</v>
      </c>
      <c r="G71" s="23">
        <f>VLOOKUP(A71,Base!B:H,4,0)</f>
        <v>0</v>
      </c>
      <c r="H71" s="51" t="str">
        <f>VLOOKUP($A71,Base[],5,0)</f>
        <v>GUIA GRRF</v>
      </c>
      <c r="I71" s="35"/>
      <c r="J71" s="51" t="s">
        <v>620</v>
      </c>
      <c r="K71" s="19"/>
      <c r="L71" s="130">
        <v>48051.43</v>
      </c>
      <c r="M71" s="20">
        <f>M70+ExtratoBanco[[#This Row],[CRÉDITO]]-ExtratoBanco[[#This Row],[DÉBITO]]</f>
        <v>-47336.959999999854</v>
      </c>
      <c r="N71" s="132">
        <v>12</v>
      </c>
    </row>
    <row r="72" spans="1:14" ht="12.75" customHeight="1" x14ac:dyDescent="0.25">
      <c r="A72" s="128">
        <v>16</v>
      </c>
      <c r="B72" s="128"/>
      <c r="C72" s="17" t="s">
        <v>590</v>
      </c>
      <c r="D72" s="129">
        <v>45707</v>
      </c>
      <c r="E72" s="17" t="str">
        <f>VLOOKUP(A72,Base[],2,0)</f>
        <v>3.1.90.13.01- CONTRIBUIÇÕES PREVIDENCIÁRIAS - INSS</v>
      </c>
      <c r="F72" s="17" t="str">
        <f>VLOOKUP(A72,Base!B:D,3,0)</f>
        <v>FUNDO DO REGIME GERAL DE PREVIDENCIA SOCIAL</v>
      </c>
      <c r="G72" s="23" t="str">
        <f>VLOOKUP(A72,Base!B:H,4,0)</f>
        <v>16.727.230/0001-97</v>
      </c>
      <c r="H72" s="51" t="str">
        <f>VLOOKUP($A72,Base[],5,0)</f>
        <v>GPS</v>
      </c>
      <c r="I72" s="35"/>
      <c r="J72" s="51" t="s">
        <v>621</v>
      </c>
      <c r="K72" s="19"/>
      <c r="L72" s="130">
        <v>350605.64</v>
      </c>
      <c r="M72" s="20">
        <f>M71+ExtratoBanco[[#This Row],[CRÉDITO]]-ExtratoBanco[[#This Row],[DÉBITO]]</f>
        <v>-397942.59999999986</v>
      </c>
      <c r="N72" s="132">
        <v>13</v>
      </c>
    </row>
    <row r="73" spans="1:14" ht="12.75" customHeight="1" x14ac:dyDescent="0.25">
      <c r="A73" s="128">
        <v>5</v>
      </c>
      <c r="B73" s="128"/>
      <c r="C73" s="17" t="s">
        <v>590</v>
      </c>
      <c r="D73" s="129">
        <v>45707</v>
      </c>
      <c r="E73" s="17" t="str">
        <f>VLOOKUP(A73,Base[],2,0)</f>
        <v>RESGATE APLICAÇÃO</v>
      </c>
      <c r="F73" s="17" t="str">
        <f>VLOOKUP(A73,Base!B:D,3,0)</f>
        <v>PALCOPARANÁ</v>
      </c>
      <c r="G73" s="23" t="str">
        <f>VLOOKUP(A73,Base!B:H,4,0)</f>
        <v>25.298.788/0001-95</v>
      </c>
      <c r="H73" s="51">
        <f>VLOOKUP($A73,Base[],5,0)</f>
        <v>0</v>
      </c>
      <c r="I73" s="35"/>
      <c r="J73" s="51" t="str">
        <f>VLOOKUP(ExtratoBanco[[#This Row],[Nº]],Base!B:H,7,0)</f>
        <v>RESGATE APLICAÇÃO</v>
      </c>
      <c r="K73" s="19">
        <v>398000</v>
      </c>
      <c r="L73" s="130"/>
      <c r="M73" s="20">
        <f>M72+ExtratoBanco[[#This Row],[CRÉDITO]]-ExtratoBanco[[#This Row],[DÉBITO]]</f>
        <v>57.400000000139698</v>
      </c>
      <c r="N73" s="132"/>
    </row>
    <row r="74" spans="1:14" ht="12.75" customHeight="1" x14ac:dyDescent="0.25">
      <c r="A74" s="128">
        <v>5</v>
      </c>
      <c r="B74" s="128"/>
      <c r="C74" s="17" t="s">
        <v>590</v>
      </c>
      <c r="D74" s="129">
        <v>45707</v>
      </c>
      <c r="E74" s="17" t="str">
        <f>VLOOKUP(A74,Base[],2,0)</f>
        <v>RESGATE APLICAÇÃO</v>
      </c>
      <c r="F74" s="17" t="str">
        <f>VLOOKUP(A74,Base!B:D,3,0)</f>
        <v>PALCOPARANÁ</v>
      </c>
      <c r="G74" s="23" t="str">
        <f>VLOOKUP(A74,Base!B:H,4,0)</f>
        <v>25.298.788/0001-95</v>
      </c>
      <c r="H74" s="51">
        <f>VLOOKUP($A74,Base[],5,0)</f>
        <v>0</v>
      </c>
      <c r="I74" s="35"/>
      <c r="J74" s="51" t="str">
        <f>VLOOKUP(ExtratoBanco[[#This Row],[Nº]],Base!B:H,7,0)</f>
        <v>RESGATE APLICAÇÃO</v>
      </c>
      <c r="K74" s="19">
        <v>6145.12</v>
      </c>
      <c r="L74" s="130"/>
      <c r="M74" s="20">
        <f>M73+ExtratoBanco[[#This Row],[CRÉDITO]]-ExtratoBanco[[#This Row],[DÉBITO]]</f>
        <v>6202.5200000001396</v>
      </c>
      <c r="N74" s="132"/>
    </row>
    <row r="75" spans="1:14" ht="12.75" customHeight="1" x14ac:dyDescent="0.25">
      <c r="A75" s="128">
        <v>4</v>
      </c>
      <c r="B75" s="128"/>
      <c r="C75" s="17" t="s">
        <v>590</v>
      </c>
      <c r="D75" s="129">
        <v>45709</v>
      </c>
      <c r="E75" s="17" t="str">
        <f>VLOOKUP(A75,Base[],2,0)</f>
        <v>3.3.90.39.47 - SERVIÇO DE COMUNICAÇÃO EM GERAL</v>
      </c>
      <c r="F75" s="17" t="str">
        <f>VLOOKUP(A75,Base!B:D,3,0)</f>
        <v>DPTO DE IMPRENSA OFICIAL ESTADO DO PARANÁ</v>
      </c>
      <c r="G75" s="23" t="str">
        <f>VLOOKUP(A75,Base!B:H,4,0)</f>
        <v>76.437.383/0001-21</v>
      </c>
      <c r="H75" s="51" t="str">
        <f>VLOOKUP($A75,Base[],5,0)</f>
        <v>NOTA FISCAL</v>
      </c>
      <c r="I75" s="35"/>
      <c r="J75" s="51" t="str">
        <f>VLOOKUP(ExtratoBanco[[#This Row],[Nº]],Base!B:H,7,0)</f>
        <v xml:space="preserve">PUBL. DIOE PROTOCOLO </v>
      </c>
      <c r="K75" s="19"/>
      <c r="L75" s="130">
        <v>2190</v>
      </c>
      <c r="M75" s="20">
        <f>M74+ExtratoBanco[[#This Row],[CRÉDITO]]-ExtratoBanco[[#This Row],[DÉBITO]]</f>
        <v>4012.5200000001396</v>
      </c>
      <c r="N75" s="132">
        <v>14</v>
      </c>
    </row>
    <row r="76" spans="1:14" ht="12.75" customHeight="1" x14ac:dyDescent="0.25">
      <c r="A76" s="128">
        <v>1</v>
      </c>
      <c r="B76" s="128"/>
      <c r="C76" s="17" t="s">
        <v>590</v>
      </c>
      <c r="D76" s="129">
        <v>45712</v>
      </c>
      <c r="E76" s="17" t="str">
        <f>VLOOKUP(A76,Base[],2,0)</f>
        <v>3.1.90.11.61 - VENCIMENTOS E SALÁRIOS</v>
      </c>
      <c r="F76" s="17" t="str">
        <f>VLOOKUP(A76,Base!B:D,3,0)</f>
        <v>COLABORADORES DIVERSOS</v>
      </c>
      <c r="G76" s="23">
        <f>VLOOKUP(A76,Base!B:H,4,0)</f>
        <v>0</v>
      </c>
      <c r="H76" s="51" t="str">
        <f>VLOOKUP($A76,Base[],5,0)</f>
        <v>HOLERITE</v>
      </c>
      <c r="I76" s="35"/>
      <c r="J76" s="51" t="s">
        <v>622</v>
      </c>
      <c r="K76" s="19"/>
      <c r="L76" s="130">
        <v>2759.61</v>
      </c>
      <c r="M76" s="20">
        <f>M75+ExtratoBanco[[#This Row],[CRÉDITO]]-ExtratoBanco[[#This Row],[DÉBITO]]</f>
        <v>1252.9100000001395</v>
      </c>
      <c r="N76" s="132">
        <v>15</v>
      </c>
    </row>
    <row r="77" spans="1:14" ht="12.75" customHeight="1" x14ac:dyDescent="0.25">
      <c r="A77" s="128">
        <v>19</v>
      </c>
      <c r="B77" s="128"/>
      <c r="C77" s="17" t="s">
        <v>590</v>
      </c>
      <c r="D77" s="129">
        <v>45715</v>
      </c>
      <c r="E77" s="17" t="str">
        <f>VLOOKUP(A77,Base[],2,0)</f>
        <v>CRÉDITO</v>
      </c>
      <c r="F77" s="17" t="str">
        <f>VLOOKUP(A77,Base!B:D,3,0)</f>
        <v>PALCOPARANÁ</v>
      </c>
      <c r="G77" s="23" t="str">
        <f>VLOOKUP(A77,Base!B:H,4,0)</f>
        <v>25.298.788/0001-95</v>
      </c>
      <c r="H77" s="51">
        <f>VLOOKUP($A77,Base[],5,0)</f>
        <v>0</v>
      </c>
      <c r="I77" s="35"/>
      <c r="J77" s="51" t="s">
        <v>623</v>
      </c>
      <c r="K77" s="19">
        <v>800000</v>
      </c>
      <c r="L77" s="130"/>
      <c r="M77" s="20">
        <f>M76+ExtratoBanco[[#This Row],[CRÉDITO]]-ExtratoBanco[[#This Row],[DÉBITO]]</f>
        <v>801252.91000000015</v>
      </c>
      <c r="N77" s="132"/>
    </row>
    <row r="78" spans="1:14" ht="12.75" customHeight="1" x14ac:dyDescent="0.25">
      <c r="A78" s="128">
        <v>1</v>
      </c>
      <c r="B78" s="128"/>
      <c r="C78" s="17" t="s">
        <v>590</v>
      </c>
      <c r="D78" s="129">
        <v>45715</v>
      </c>
      <c r="E78" s="17" t="str">
        <f>VLOOKUP(A78,Base[],2,0)</f>
        <v>3.1.90.11.61 - VENCIMENTOS E SALÁRIOS</v>
      </c>
      <c r="F78" s="17" t="str">
        <f>VLOOKUP(A78,Base!B:D,3,0)</f>
        <v>COLABORADORES DIVERSOS</v>
      </c>
      <c r="G78" s="23">
        <f>VLOOKUP(A78,Base!B:H,4,0)</f>
        <v>0</v>
      </c>
      <c r="H78" s="51" t="str">
        <f>VLOOKUP($A78,Base[],5,0)</f>
        <v>HOLERITE</v>
      </c>
      <c r="I78" s="35"/>
      <c r="J78" s="51" t="s">
        <v>624</v>
      </c>
      <c r="K78" s="19"/>
      <c r="L78" s="130">
        <v>330566.15999999997</v>
      </c>
      <c r="M78" s="20">
        <f>M77+ExtratoBanco[[#This Row],[CRÉDITO]]-ExtratoBanco[[#This Row],[DÉBITO]]</f>
        <v>470686.75000000017</v>
      </c>
      <c r="N78" s="132">
        <v>16</v>
      </c>
    </row>
    <row r="79" spans="1:14" ht="12.75" customHeight="1" x14ac:dyDescent="0.25">
      <c r="A79" s="128">
        <v>45</v>
      </c>
      <c r="B79" s="128"/>
      <c r="C79" s="17" t="s">
        <v>590</v>
      </c>
      <c r="D79" s="129">
        <v>45716</v>
      </c>
      <c r="E79" s="17" t="str">
        <f>VLOOKUP(A79,Base[],2,0)</f>
        <v>3.3.90.46.03 - AUXÍLIO-ALIMENTAÇÃO</v>
      </c>
      <c r="F79" s="17" t="str">
        <f>VLOOKUP(A79,Base!B:D,3,0)</f>
        <v>GIMAVE - MEIOS DE PAGAMENTOS E INFORMACOES LTDA</v>
      </c>
      <c r="G79" s="23" t="str">
        <f>VLOOKUP(A79,Base!B:H,4,0)</f>
        <v>05.989.476/0001-10</v>
      </c>
      <c r="H79" s="51" t="str">
        <f>VLOOKUP($A79,Base[],5,0)</f>
        <v>NFS-e</v>
      </c>
      <c r="I79" s="35"/>
      <c r="J79" s="51" t="s">
        <v>625</v>
      </c>
      <c r="K79" s="19"/>
      <c r="L79" s="130">
        <v>632.20000000000005</v>
      </c>
      <c r="M79" s="20">
        <f>M78+ExtratoBanco[[#This Row],[CRÉDITO]]-ExtratoBanco[[#This Row],[DÉBITO]]</f>
        <v>470054.55000000016</v>
      </c>
      <c r="N79" s="132">
        <v>17</v>
      </c>
    </row>
    <row r="80" spans="1:14" ht="12.75" customHeight="1" x14ac:dyDescent="0.25">
      <c r="A80" s="128">
        <v>38</v>
      </c>
      <c r="B80" s="128"/>
      <c r="C80" s="17" t="s">
        <v>590</v>
      </c>
      <c r="D80" s="129">
        <v>45716</v>
      </c>
      <c r="E80" s="17" t="str">
        <f>VLOOKUP(A80,Base[],2,0)</f>
        <v>3.3.90.39.50 - SERVIÇOS MÉDICOS - HOSPITAL, ODONT. E LABORATORIAIS</v>
      </c>
      <c r="F80" s="17" t="s">
        <v>626</v>
      </c>
      <c r="G80" s="23" t="s">
        <v>627</v>
      </c>
      <c r="H80" s="51" t="str">
        <f>VLOOKUP($A80,Base[],5,0)</f>
        <v>NFS-e</v>
      </c>
      <c r="I80" s="35">
        <v>15870</v>
      </c>
      <c r="J80" s="51" t="str">
        <f>VLOOKUP(ExtratoBanco[[#This Row],[Nº]],Base!B:H,7,0)</f>
        <v>PGTO EXAMES OCUPACIONAIS</v>
      </c>
      <c r="K80" s="19"/>
      <c r="L80" s="130">
        <v>1365</v>
      </c>
      <c r="M80" s="20">
        <f>M79+ExtratoBanco[[#This Row],[CRÉDITO]]-ExtratoBanco[[#This Row],[DÉBITO]]</f>
        <v>468689.55000000016</v>
      </c>
      <c r="N80" s="132">
        <v>18</v>
      </c>
    </row>
    <row r="81" spans="1:14" ht="12.75" customHeight="1" x14ac:dyDescent="0.25">
      <c r="A81" s="128">
        <v>62</v>
      </c>
      <c r="B81" s="128"/>
      <c r="C81" s="17" t="s">
        <v>590</v>
      </c>
      <c r="D81" s="129">
        <v>45716</v>
      </c>
      <c r="E81" s="17" t="str">
        <f>VLOOKUP(A81,Base[],2,0)</f>
        <v>3.3.90.39.83 - SERVIÇOS DE CÓPIAS E REPRODUÇÃO DE DOCUMENTOS</v>
      </c>
      <c r="F81" s="17" t="str">
        <f>VLOOKUP(A81,Base!B:D,3,0)</f>
        <v xml:space="preserve">QUALIINFO INFORMATICA LTDA </v>
      </c>
      <c r="G81" s="23" t="str">
        <f>VLOOKUP(A81,Base!B:H,4,0)</f>
        <v>04.009.266/0001-56</v>
      </c>
      <c r="H81" s="51" t="str">
        <f>VLOOKUP($A81,Base[],5,0)</f>
        <v>NFS-e</v>
      </c>
      <c r="I81" s="35"/>
      <c r="J81" s="51" t="str">
        <f>VLOOKUP(ExtratoBanco[[#This Row],[Nº]],Base!B:H,7,0)</f>
        <v>SERVIÇOS LOCAÇÃO DE IMPRESSORA</v>
      </c>
      <c r="K81" s="19"/>
      <c r="L81" s="130">
        <v>840</v>
      </c>
      <c r="M81" s="20">
        <f>M80+ExtratoBanco[[#This Row],[CRÉDITO]]-ExtratoBanco[[#This Row],[DÉBITO]]</f>
        <v>467849.55000000016</v>
      </c>
      <c r="N81" s="132">
        <v>19</v>
      </c>
    </row>
    <row r="82" spans="1:14" ht="12.75" customHeight="1" x14ac:dyDescent="0.25">
      <c r="A82" s="128"/>
      <c r="B82" s="128"/>
      <c r="C82" s="17"/>
      <c r="D82" s="129"/>
      <c r="E82" s="17" t="e">
        <f>VLOOKUP(A82,Base[],2,0)</f>
        <v>#N/A</v>
      </c>
      <c r="F82" s="17"/>
      <c r="G82" s="23"/>
      <c r="H82" s="51"/>
      <c r="I82" s="35"/>
      <c r="J82" s="51"/>
      <c r="K82" s="19"/>
      <c r="L82" s="130"/>
      <c r="M82" s="20">
        <f>M81+ExtratoBanco[[#This Row],[CRÉDITO]]-ExtratoBanco[[#This Row],[DÉBITO]]</f>
        <v>467849.55000000016</v>
      </c>
      <c r="N82" s="132"/>
    </row>
    <row r="83" spans="1:14" ht="12.75" customHeight="1" x14ac:dyDescent="0.25">
      <c r="M83" s="133"/>
      <c r="N83" s="131"/>
    </row>
    <row r="84" spans="1:14" ht="12.75" customHeight="1" x14ac:dyDescent="0.25">
      <c r="M84" s="133"/>
      <c r="N84" s="131"/>
    </row>
    <row r="85" spans="1:14" ht="12.75" customHeight="1" x14ac:dyDescent="0.25">
      <c r="M85" s="133"/>
      <c r="N85" s="131"/>
    </row>
    <row r="86" spans="1:14" ht="12.75" customHeight="1" x14ac:dyDescent="0.25">
      <c r="M86" s="133"/>
      <c r="N86" s="131"/>
    </row>
    <row r="87" spans="1:14" ht="12.75" customHeight="1" x14ac:dyDescent="0.25">
      <c r="M87" s="133"/>
      <c r="N87" s="131"/>
    </row>
    <row r="88" spans="1:14" ht="12.75" customHeight="1" x14ac:dyDescent="0.25">
      <c r="M88" s="133"/>
      <c r="N88" s="131"/>
    </row>
    <row r="89" spans="1:14" ht="12.75" customHeight="1" x14ac:dyDescent="0.25">
      <c r="M89" s="133"/>
      <c r="N89" s="131"/>
    </row>
    <row r="90" spans="1:14" ht="12.75" customHeight="1" x14ac:dyDescent="0.25">
      <c r="M90" s="133"/>
      <c r="N90" s="131"/>
    </row>
    <row r="91" spans="1:14" ht="12.75" customHeight="1" x14ac:dyDescent="0.25">
      <c r="M91" s="133"/>
      <c r="N91" s="131"/>
    </row>
    <row r="92" spans="1:14" ht="12.75" customHeight="1" x14ac:dyDescent="0.25">
      <c r="M92" s="133"/>
      <c r="N92" s="131"/>
    </row>
    <row r="93" spans="1:14" ht="12.75" customHeight="1" x14ac:dyDescent="0.25">
      <c r="M93" s="133"/>
      <c r="N93" s="131"/>
    </row>
    <row r="98" spans="13:13" ht="12.75" customHeight="1" x14ac:dyDescent="0.25">
      <c r="M98" s="134"/>
    </row>
    <row r="99" spans="13:13" ht="12.75" customHeight="1" x14ac:dyDescent="0.25">
      <c r="M99" s="134"/>
    </row>
    <row r="100" spans="13:13" ht="12.75" customHeight="1" x14ac:dyDescent="0.25">
      <c r="M100" s="134"/>
    </row>
    <row r="101" spans="13:13" ht="12.75" customHeight="1" x14ac:dyDescent="0.25">
      <c r="M101" s="134"/>
    </row>
  </sheetData>
  <conditionalFormatting sqref="A1:A82">
    <cfRule type="cellIs" dxfId="53" priority="2" operator="between">
      <formula>1</formula>
      <formula>4</formula>
    </cfRule>
    <cfRule type="cellIs" dxfId="52" priority="3" operator="between">
      <formula>6</formula>
      <formula>18</formula>
    </cfRule>
    <cfRule type="cellIs" dxfId="51" priority="4" operator="between">
      <formula>20</formula>
      <formula>23</formula>
    </cfRule>
    <cfRule type="cellIs" dxfId="50" priority="5" operator="equal">
      <formula>24</formula>
    </cfRule>
    <cfRule type="cellIs" dxfId="49" priority="6" operator="between">
      <formula>25</formula>
      <formula>50</formula>
    </cfRule>
    <cfRule type="cellIs" dxfId="48" priority="7" operator="greaterThanOrEqual">
      <formula>52</formula>
    </cfRule>
    <cfRule type="cellIs" dxfId="47" priority="8" operator="equal">
      <formula>5</formula>
    </cfRule>
    <cfRule type="cellIs" dxfId="46" priority="9" operator="equal">
      <formula>19</formula>
    </cfRule>
    <cfRule type="cellIs" dxfId="45" priority="10" operator="equal">
      <formula>51</formula>
    </cfRule>
  </conditionalFormatting>
  <conditionalFormatting sqref="M2:M82">
    <cfRule type="cellIs" dxfId="44" priority="14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scale="10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showGridLines="0" zoomScaleNormal="100" workbookViewId="0"/>
  </sheetViews>
  <sheetFormatPr defaultColWidth="8.7109375" defaultRowHeight="15" x14ac:dyDescent="0.25"/>
  <cols>
    <col min="1" max="1" width="61.85546875" customWidth="1"/>
    <col min="2" max="2" width="32.5703125" customWidth="1"/>
    <col min="3" max="3" width="27.42578125" customWidth="1"/>
    <col min="4" max="4" width="12" customWidth="1"/>
  </cols>
  <sheetData>
    <row r="1" spans="1:3" x14ac:dyDescent="0.25">
      <c r="A1" s="66" t="s">
        <v>1</v>
      </c>
      <c r="B1" s="67" t="s">
        <v>584</v>
      </c>
    </row>
    <row r="3" spans="1:3" x14ac:dyDescent="0.25">
      <c r="A3" s="68" t="s">
        <v>586</v>
      </c>
      <c r="B3" s="69" t="s">
        <v>587</v>
      </c>
      <c r="C3" s="71"/>
    </row>
    <row r="4" spans="1:3" x14ac:dyDescent="0.25">
      <c r="A4" s="72" t="s">
        <v>2</v>
      </c>
      <c r="B4" s="73" t="s">
        <v>628</v>
      </c>
      <c r="C4" s="76" t="s">
        <v>591</v>
      </c>
    </row>
    <row r="5" spans="1:3" x14ac:dyDescent="0.25">
      <c r="A5" s="85" t="s">
        <v>530</v>
      </c>
      <c r="B5" s="135">
        <v>687384.5</v>
      </c>
      <c r="C5" s="136"/>
    </row>
    <row r="6" spans="1:3" x14ac:dyDescent="0.25">
      <c r="A6" s="95" t="s">
        <v>554</v>
      </c>
      <c r="B6" s="88">
        <v>5782991.8399999999</v>
      </c>
      <c r="C6" s="96"/>
    </row>
    <row r="7" spans="1:3" x14ac:dyDescent="0.25">
      <c r="A7" s="95" t="s">
        <v>485</v>
      </c>
      <c r="B7" s="88">
        <v>797.5</v>
      </c>
      <c r="C7" s="96"/>
    </row>
    <row r="8" spans="1:3" x14ac:dyDescent="0.25">
      <c r="A8" s="95" t="s">
        <v>506</v>
      </c>
      <c r="B8" s="88">
        <v>4145000</v>
      </c>
      <c r="C8" s="96"/>
    </row>
    <row r="9" spans="1:3" x14ac:dyDescent="0.25">
      <c r="A9" s="95" t="s">
        <v>505</v>
      </c>
      <c r="B9" s="88">
        <v>600091.43000000005</v>
      </c>
      <c r="C9" s="96"/>
    </row>
    <row r="10" spans="1:3" x14ac:dyDescent="0.25">
      <c r="A10" s="95" t="s">
        <v>588</v>
      </c>
      <c r="B10" s="99"/>
      <c r="C10" s="101"/>
    </row>
    <row r="11" spans="1:3" x14ac:dyDescent="0.25">
      <c r="A11" s="102" t="s">
        <v>589</v>
      </c>
      <c r="B11" s="103">
        <v>11216265.27</v>
      </c>
      <c r="C11" s="137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9"/>
  <sheetViews>
    <sheetView showGridLines="0" zoomScaleNormal="100" workbookViewId="0">
      <pane ySplit="1" topLeftCell="A2" activePane="bottomLeft" state="frozen"/>
      <selection pane="bottomLeft" activeCell="I6" activeCellId="1" sqref="L15:L67 I6"/>
    </sheetView>
  </sheetViews>
  <sheetFormatPr defaultColWidth="9.140625" defaultRowHeight="11.25" x14ac:dyDescent="0.25"/>
  <cols>
    <col min="1" max="1" width="7.140625" style="115" customWidth="1"/>
    <col min="2" max="2" width="11.28515625" style="115" customWidth="1"/>
    <col min="3" max="3" width="14.5703125" style="116" customWidth="1"/>
    <col min="4" max="4" width="10.5703125" style="115" customWidth="1"/>
    <col min="5" max="5" width="40.42578125" style="115" customWidth="1"/>
    <col min="6" max="6" width="38.5703125" style="115" customWidth="1"/>
    <col min="7" max="7" width="15.5703125" style="115" customWidth="1"/>
    <col min="8" max="8" width="14.42578125" style="115" customWidth="1"/>
    <col min="9" max="9" width="11" style="117" customWidth="1"/>
    <col min="10" max="10" width="51.5703125" style="115" customWidth="1"/>
    <col min="11" max="11" width="13.7109375" style="115" customWidth="1"/>
    <col min="12" max="12" width="13.28515625" style="118" customWidth="1"/>
    <col min="13" max="13" width="14.140625" style="115" customWidth="1"/>
    <col min="14" max="14" width="2.42578125" style="119" customWidth="1"/>
    <col min="15" max="15" width="14.140625" style="115" customWidth="1"/>
    <col min="16" max="16" width="14.85546875" style="115" customWidth="1"/>
    <col min="17" max="16384" width="9.140625" style="115"/>
  </cols>
  <sheetData>
    <row r="1" spans="1:14" ht="12.75" customHeight="1" x14ac:dyDescent="0.25">
      <c r="A1" s="120" t="s">
        <v>0</v>
      </c>
      <c r="B1" s="121" t="s">
        <v>595</v>
      </c>
      <c r="C1" s="122" t="s">
        <v>587</v>
      </c>
      <c r="D1" s="121" t="s">
        <v>1</v>
      </c>
      <c r="E1" s="123" t="s">
        <v>2</v>
      </c>
      <c r="F1" s="123" t="s">
        <v>3</v>
      </c>
      <c r="G1" s="121" t="s">
        <v>4</v>
      </c>
      <c r="H1" s="121" t="s">
        <v>5</v>
      </c>
      <c r="I1" s="124" t="s">
        <v>6</v>
      </c>
      <c r="J1" s="121" t="s">
        <v>7</v>
      </c>
      <c r="K1" s="125" t="s">
        <v>8</v>
      </c>
      <c r="L1" s="126" t="s">
        <v>9</v>
      </c>
      <c r="M1" s="127" t="s">
        <v>10</v>
      </c>
    </row>
    <row r="2" spans="1:14" ht="12.75" customHeight="1" x14ac:dyDescent="0.25">
      <c r="A2" s="128"/>
      <c r="B2" s="128"/>
      <c r="C2" s="17" t="s">
        <v>628</v>
      </c>
      <c r="D2" s="129">
        <v>45659</v>
      </c>
      <c r="E2" s="17"/>
      <c r="F2" s="17"/>
      <c r="G2" s="23"/>
      <c r="H2" s="51"/>
      <c r="I2" s="35"/>
      <c r="J2" s="51"/>
      <c r="K2" s="19"/>
      <c r="L2" s="130"/>
      <c r="M2" s="20">
        <v>4145001.95</v>
      </c>
      <c r="N2" s="115"/>
    </row>
    <row r="3" spans="1:14" ht="12.75" customHeight="1" x14ac:dyDescent="0.25">
      <c r="A3" s="128">
        <v>24</v>
      </c>
      <c r="B3" s="128"/>
      <c r="C3" s="17" t="s">
        <v>628</v>
      </c>
      <c r="D3" s="129">
        <v>45659</v>
      </c>
      <c r="E3" s="17" t="str">
        <f>VLOOKUP(A3,Base[],2,0)</f>
        <v>APLICAÇÃO</v>
      </c>
      <c r="F3" s="17" t="str">
        <f>VLOOKUP(A3,Base!B:D,3,0)</f>
        <v>PALCOPARANÁ</v>
      </c>
      <c r="G3" s="23" t="str">
        <f>VLOOKUP(A3,Base!B:H,4,0)</f>
        <v>25.298.788/0001-95</v>
      </c>
      <c r="H3" s="51">
        <f>VLOOKUP($A3,Base[],5,0)</f>
        <v>0</v>
      </c>
      <c r="I3" s="35"/>
      <c r="J3" s="51" t="str">
        <f>VLOOKUP(ExtratoBanco8[[#This Row],[Nº]],Base!B:H,7,0)</f>
        <v>APLICAÇÃO CDB-DI</v>
      </c>
      <c r="K3" s="19"/>
      <c r="L3" s="130">
        <v>4145000</v>
      </c>
      <c r="M3" s="20">
        <f>M2+ExtratoBanco8[[#This Row],[CRÉDITO]]-ExtratoBanco8[[#This Row],[DÉBITO]]</f>
        <v>1.9500000001862645</v>
      </c>
      <c r="N3" s="131"/>
    </row>
    <row r="4" spans="1:14" ht="12.75" customHeight="1" x14ac:dyDescent="0.25">
      <c r="A4" s="128">
        <v>14</v>
      </c>
      <c r="B4" s="128"/>
      <c r="C4" s="17" t="s">
        <v>628</v>
      </c>
      <c r="D4" s="129">
        <v>45660</v>
      </c>
      <c r="E4" s="17" t="str">
        <f>VLOOKUP(A4,Base[],2,0)</f>
        <v>3.3.90.39.39 - ENCARGOS FINANCEIROS INDEDUTÍVEIS</v>
      </c>
      <c r="F4" s="17" t="str">
        <f>VLOOKUP(A4,Base!B:D,3,0)</f>
        <v>BANCO DO BRASIL</v>
      </c>
      <c r="G4" s="23">
        <f>VLOOKUP(A4,Base!B:H,4,0)</f>
        <v>191</v>
      </c>
      <c r="H4" s="51" t="str">
        <f>VLOOKUP($A4,Base[],5,0)</f>
        <v>AVISO DE DÉBITO</v>
      </c>
      <c r="I4" s="35"/>
      <c r="J4" s="51" t="str">
        <f>VLOOKUP(ExtratoBanco8[[#This Row],[Nº]],Base!B:H,7,0)</f>
        <v>TARIFA BANCÁRIA</v>
      </c>
      <c r="K4" s="19"/>
      <c r="L4" s="130">
        <v>67</v>
      </c>
      <c r="M4" s="20">
        <f>M3+ExtratoBanco8[[#This Row],[CRÉDITO]]-ExtratoBanco8[[#This Row],[DÉBITO]]</f>
        <v>-65.049999999813735</v>
      </c>
      <c r="N4" s="131"/>
    </row>
    <row r="5" spans="1:14" ht="12.75" customHeight="1" x14ac:dyDescent="0.25">
      <c r="A5" s="128">
        <v>5</v>
      </c>
      <c r="B5" s="128"/>
      <c r="C5" s="17" t="s">
        <v>628</v>
      </c>
      <c r="D5" s="129">
        <v>45660</v>
      </c>
      <c r="E5" s="17" t="str">
        <f>VLOOKUP(A5,Base[],2,0)</f>
        <v>RESGATE APLICAÇÃO</v>
      </c>
      <c r="F5" s="17" t="str">
        <f>VLOOKUP(A5,Base!B:D,3,0)</f>
        <v>PALCOPARANÁ</v>
      </c>
      <c r="G5" s="23" t="str">
        <f>VLOOKUP(A5,Base!B:H,4,0)</f>
        <v>25.298.788/0001-95</v>
      </c>
      <c r="H5" s="51">
        <f>VLOOKUP($A5,Base[],5,0)</f>
        <v>0</v>
      </c>
      <c r="I5" s="35"/>
      <c r="J5" s="51" t="str">
        <f>VLOOKUP(ExtratoBanco8[[#This Row],[Nº]],Base!B:H,7,0)</f>
        <v>RESGATE APLICAÇÃO</v>
      </c>
      <c r="K5" s="19">
        <v>500</v>
      </c>
      <c r="L5" s="130"/>
      <c r="M5" s="20">
        <f>M4+ExtratoBanco8[[#This Row],[CRÉDITO]]-ExtratoBanco8[[#This Row],[DÉBITO]]</f>
        <v>434.95000000018626</v>
      </c>
      <c r="N5" s="131"/>
    </row>
    <row r="6" spans="1:14" ht="12.75" customHeight="1" x14ac:dyDescent="0.25">
      <c r="A6" s="128">
        <v>5</v>
      </c>
      <c r="B6" s="128"/>
      <c r="C6" s="17" t="s">
        <v>628</v>
      </c>
      <c r="D6" s="129">
        <v>45660</v>
      </c>
      <c r="E6" s="17" t="str">
        <f>VLOOKUP(A6,Base[],2,0)</f>
        <v>RESGATE APLICAÇÃO</v>
      </c>
      <c r="F6" s="17" t="str">
        <f>VLOOKUP(A6,Base!B:D,3,0)</f>
        <v>PALCOPARANÁ</v>
      </c>
      <c r="G6" s="23" t="str">
        <f>VLOOKUP(A6,Base!B:H,4,0)</f>
        <v>25.298.788/0001-95</v>
      </c>
      <c r="H6" s="51">
        <f>VLOOKUP($A6,Base[],5,0)</f>
        <v>0</v>
      </c>
      <c r="I6" s="35"/>
      <c r="J6" s="51" t="str">
        <f>VLOOKUP(ExtratoBanco8[[#This Row],[Nº]],Base!B:H,7,0)</f>
        <v>RESGATE APLICAÇÃO</v>
      </c>
      <c r="K6" s="19">
        <v>0.21</v>
      </c>
      <c r="L6" s="130"/>
      <c r="M6" s="20">
        <f>M5+ExtratoBanco8[[#This Row],[CRÉDITO]]-ExtratoBanco8[[#This Row],[DÉBITO]]</f>
        <v>435.16000000018624</v>
      </c>
      <c r="N6" s="131"/>
    </row>
    <row r="7" spans="1:14" ht="12.75" customHeight="1" x14ac:dyDescent="0.25">
      <c r="A7" s="128">
        <v>42</v>
      </c>
      <c r="B7" s="128" t="s">
        <v>629</v>
      </c>
      <c r="C7" s="17" t="s">
        <v>628</v>
      </c>
      <c r="D7" s="129">
        <v>45673</v>
      </c>
      <c r="E7" s="17" t="str">
        <f>VLOOKUP(A7,Base[],2,0)</f>
        <v xml:space="preserve">3.3.90.39.00 – OUTROES SERVIÇOS DE TERCEIROS </v>
      </c>
      <c r="F7" s="17" t="str">
        <f>VLOOKUP(A7,Base!B:D,3,0)</f>
        <v>Contratação por Edital de Chamamento nº 01/2024</v>
      </c>
      <c r="G7" s="23" t="s">
        <v>630</v>
      </c>
      <c r="H7" s="51" t="str">
        <f>VLOOKUP($A7,Base[],5,0)</f>
        <v>NFS-e/RPA</v>
      </c>
      <c r="I7" s="138">
        <v>479</v>
      </c>
      <c r="J7" s="51" t="s">
        <v>631</v>
      </c>
      <c r="K7" s="19"/>
      <c r="L7" s="130">
        <v>12000</v>
      </c>
      <c r="M7" s="20">
        <f>M6+ExtratoBanco8[[#This Row],[CRÉDITO]]-ExtratoBanco8[[#This Row],[DÉBITO]]</f>
        <v>-11564.839999999815</v>
      </c>
      <c r="N7" s="131" t="s">
        <v>632</v>
      </c>
    </row>
    <row r="8" spans="1:14" ht="12.75" customHeight="1" x14ac:dyDescent="0.2">
      <c r="A8" s="128">
        <v>42</v>
      </c>
      <c r="B8" s="139" t="s">
        <v>633</v>
      </c>
      <c r="C8" s="17" t="s">
        <v>628</v>
      </c>
      <c r="D8" s="129">
        <v>45673</v>
      </c>
      <c r="E8" s="17" t="str">
        <f>VLOOKUP(A8,Base[],2,0)</f>
        <v xml:space="preserve">3.3.90.39.00 – OUTROES SERVIÇOS DE TERCEIROS </v>
      </c>
      <c r="F8" s="17" t="str">
        <f>VLOOKUP(A8,Base!B:D,3,0)</f>
        <v>Contratação por Edital de Chamamento nº 01/2024</v>
      </c>
      <c r="G8" s="23" t="s">
        <v>634</v>
      </c>
      <c r="H8" s="51" t="str">
        <f>VLOOKUP($A8,Base[],5,0)</f>
        <v>NFS-e/RPA</v>
      </c>
      <c r="I8" s="138">
        <v>2</v>
      </c>
      <c r="J8" s="51" t="s">
        <v>635</v>
      </c>
      <c r="K8" s="19"/>
      <c r="L8" s="130">
        <v>24000</v>
      </c>
      <c r="M8" s="20">
        <f>M7+ExtratoBanco8[[#This Row],[CRÉDITO]]-ExtratoBanco8[[#This Row],[DÉBITO]]</f>
        <v>-35564.839999999815</v>
      </c>
      <c r="N8" s="131" t="s">
        <v>636</v>
      </c>
    </row>
    <row r="9" spans="1:14" ht="12.75" customHeight="1" x14ac:dyDescent="0.25">
      <c r="A9" s="128">
        <v>42</v>
      </c>
      <c r="B9" s="128"/>
      <c r="C9" s="17" t="s">
        <v>628</v>
      </c>
      <c r="D9" s="129">
        <v>45673</v>
      </c>
      <c r="E9" s="17" t="str">
        <f>VLOOKUP(A9,Base[],2,0)</f>
        <v xml:space="preserve">3.3.90.39.00 – OUTROES SERVIÇOS DE TERCEIROS </v>
      </c>
      <c r="F9" s="17" t="str">
        <f>VLOOKUP(A9,Base!B:D,3,0)</f>
        <v>Contratação por Edital de Chamamento nº 01/2024</v>
      </c>
      <c r="G9" s="23">
        <f>VLOOKUP(A9,Base!B:H,4,0)</f>
        <v>0</v>
      </c>
      <c r="H9" s="51" t="str">
        <f>VLOOKUP($A9,Base[],5,0)</f>
        <v>NFS-e/RPA</v>
      </c>
      <c r="I9" s="35"/>
      <c r="J9" s="51" t="str">
        <f>VLOOKUP(ExtratoBanco8[[#This Row],[Nº]],Base!B:H,7,0)</f>
        <v xml:space="preserve">APRESENTAÇÃO PALCOS SUNSET - VERÃO MAIOR PARANÁ </v>
      </c>
      <c r="K9" s="19"/>
      <c r="L9" s="130">
        <v>50000</v>
      </c>
      <c r="M9" s="20">
        <f>M8+ExtratoBanco8[[#This Row],[CRÉDITO]]-ExtratoBanco8[[#This Row],[DÉBITO]]</f>
        <v>-85564.839999999822</v>
      </c>
      <c r="N9" s="131" t="s">
        <v>637</v>
      </c>
    </row>
    <row r="10" spans="1:14" ht="12.75" customHeight="1" x14ac:dyDescent="0.25">
      <c r="A10" s="128">
        <v>42</v>
      </c>
      <c r="B10" s="128"/>
      <c r="C10" s="17" t="s">
        <v>628</v>
      </c>
      <c r="D10" s="129">
        <v>45673</v>
      </c>
      <c r="E10" s="17" t="str">
        <f>VLOOKUP(A10,Base[],2,0)</f>
        <v xml:space="preserve">3.3.90.39.00 – OUTROES SERVIÇOS DE TERCEIROS </v>
      </c>
      <c r="F10" s="17" t="str">
        <f>VLOOKUP(A10,Base!B:D,3,0)</f>
        <v>Contratação por Edital de Chamamento nº 01/2024</v>
      </c>
      <c r="G10" s="23">
        <f>VLOOKUP(A10,Base!B:H,4,0)</f>
        <v>0</v>
      </c>
      <c r="H10" s="51" t="str">
        <f>VLOOKUP($A10,Base[],5,0)</f>
        <v>NFS-e/RPA</v>
      </c>
      <c r="I10" s="35"/>
      <c r="J10" s="51" t="str">
        <f>VLOOKUP(ExtratoBanco8[[#This Row],[Nº]],Base!B:H,7,0)</f>
        <v xml:space="preserve">APRESENTAÇÃO PALCOS SUNSET - VERÃO MAIOR PARANÁ </v>
      </c>
      <c r="K10" s="19"/>
      <c r="L10" s="130">
        <v>6000</v>
      </c>
      <c r="M10" s="20">
        <f>M9+ExtratoBanco8[[#This Row],[CRÉDITO]]-ExtratoBanco8[[#This Row],[DÉBITO]]</f>
        <v>-91564.839999999822</v>
      </c>
      <c r="N10" s="131" t="s">
        <v>638</v>
      </c>
    </row>
    <row r="11" spans="1:14" ht="12.75" customHeight="1" x14ac:dyDescent="0.25">
      <c r="A11" s="128">
        <v>42</v>
      </c>
      <c r="B11" s="128"/>
      <c r="C11" s="17" t="s">
        <v>628</v>
      </c>
      <c r="D11" s="129">
        <v>45673</v>
      </c>
      <c r="E11" s="17" t="str">
        <f>VLOOKUP(A11,Base[],2,0)</f>
        <v xml:space="preserve">3.3.90.39.00 – OUTROES SERVIÇOS DE TERCEIROS </v>
      </c>
      <c r="F11" s="17" t="str">
        <f>VLOOKUP(A11,Base!B:D,3,0)</f>
        <v>Contratação por Edital de Chamamento nº 01/2024</v>
      </c>
      <c r="G11" s="23">
        <f>VLOOKUP(A11,Base!B:H,4,0)</f>
        <v>0</v>
      </c>
      <c r="H11" s="51" t="str">
        <f>VLOOKUP($A11,Base[],5,0)</f>
        <v>NFS-e/RPA</v>
      </c>
      <c r="I11" s="35"/>
      <c r="J11" s="51" t="str">
        <f>VLOOKUP(ExtratoBanco8[[#This Row],[Nº]],Base!B:H,7,0)</f>
        <v xml:space="preserve">APRESENTAÇÃO PALCOS SUNSET - VERÃO MAIOR PARANÁ </v>
      </c>
      <c r="K11" s="19"/>
      <c r="L11" s="130">
        <v>15000</v>
      </c>
      <c r="M11" s="20">
        <f>M10+ExtratoBanco8[[#This Row],[CRÉDITO]]-ExtratoBanco8[[#This Row],[DÉBITO]]</f>
        <v>-106564.83999999982</v>
      </c>
      <c r="N11" s="131" t="s">
        <v>639</v>
      </c>
    </row>
    <row r="12" spans="1:14" ht="12.75" customHeight="1" x14ac:dyDescent="0.25">
      <c r="A12" s="128">
        <v>42</v>
      </c>
      <c r="B12" s="128"/>
      <c r="C12" s="17" t="s">
        <v>628</v>
      </c>
      <c r="D12" s="129">
        <v>45673</v>
      </c>
      <c r="E12" s="17" t="str">
        <f>VLOOKUP(A12,Base[],2,0)</f>
        <v xml:space="preserve">3.3.90.39.00 – OUTROES SERVIÇOS DE TERCEIROS </v>
      </c>
      <c r="F12" s="17" t="str">
        <f>VLOOKUP(A12,Base!B:D,3,0)</f>
        <v>Contratação por Edital de Chamamento nº 01/2024</v>
      </c>
      <c r="G12" s="23">
        <f>VLOOKUP(A12,Base!B:H,4,0)</f>
        <v>0</v>
      </c>
      <c r="H12" s="51" t="str">
        <f>VLOOKUP($A12,Base[],5,0)</f>
        <v>NFS-e/RPA</v>
      </c>
      <c r="I12" s="35"/>
      <c r="J12" s="51" t="str">
        <f>VLOOKUP(ExtratoBanco8[[#This Row],[Nº]],Base!B:H,7,0)</f>
        <v xml:space="preserve">APRESENTAÇÃO PALCOS SUNSET - VERÃO MAIOR PARANÁ </v>
      </c>
      <c r="K12" s="19"/>
      <c r="L12" s="130">
        <v>15000</v>
      </c>
      <c r="M12" s="20">
        <f>M11+ExtratoBanco8[[#This Row],[CRÉDITO]]-ExtratoBanco8[[#This Row],[DÉBITO]]</f>
        <v>-121564.83999999982</v>
      </c>
      <c r="N12" s="131" t="s">
        <v>640</v>
      </c>
    </row>
    <row r="13" spans="1:14" ht="12.75" customHeight="1" x14ac:dyDescent="0.25">
      <c r="A13" s="128">
        <v>42</v>
      </c>
      <c r="B13" s="128"/>
      <c r="C13" s="17" t="s">
        <v>628</v>
      </c>
      <c r="D13" s="129">
        <v>45673</v>
      </c>
      <c r="E13" s="17" t="str">
        <f>VLOOKUP(A13,Base[],2,0)</f>
        <v xml:space="preserve">3.3.90.39.00 – OUTROES SERVIÇOS DE TERCEIROS </v>
      </c>
      <c r="F13" s="17" t="str">
        <f>VLOOKUP(A13,Base!B:D,3,0)</f>
        <v>Contratação por Edital de Chamamento nº 01/2024</v>
      </c>
      <c r="G13" s="23">
        <f>VLOOKUP(A13,Base!B:H,4,0)</f>
        <v>0</v>
      </c>
      <c r="H13" s="51" t="str">
        <f>VLOOKUP($A13,Base[],5,0)</f>
        <v>NFS-e/RPA</v>
      </c>
      <c r="I13" s="35"/>
      <c r="J13" s="51" t="str">
        <f>VLOOKUP(ExtratoBanco8[[#This Row],[Nº]],Base!B:H,7,0)</f>
        <v xml:space="preserve">APRESENTAÇÃO PALCOS SUNSET - VERÃO MAIOR PARANÁ </v>
      </c>
      <c r="K13" s="19"/>
      <c r="L13" s="130">
        <v>20000</v>
      </c>
      <c r="M13" s="20">
        <f>M12+ExtratoBanco8[[#This Row],[CRÉDITO]]-ExtratoBanco8[[#This Row],[DÉBITO]]</f>
        <v>-141564.83999999982</v>
      </c>
      <c r="N13" s="131" t="s">
        <v>641</v>
      </c>
    </row>
    <row r="14" spans="1:14" ht="12.75" customHeight="1" x14ac:dyDescent="0.25">
      <c r="A14" s="128">
        <v>42</v>
      </c>
      <c r="B14" s="128"/>
      <c r="C14" s="17" t="s">
        <v>628</v>
      </c>
      <c r="D14" s="129">
        <v>45673</v>
      </c>
      <c r="E14" s="17" t="str">
        <f>VLOOKUP(A14,Base[],2,0)</f>
        <v xml:space="preserve">3.3.90.39.00 – OUTROES SERVIÇOS DE TERCEIROS </v>
      </c>
      <c r="F14" s="17" t="str">
        <f>VLOOKUP(A14,Base!B:D,3,0)</f>
        <v>Contratação por Edital de Chamamento nº 01/2024</v>
      </c>
      <c r="G14" s="23">
        <f>VLOOKUP(A14,Base!B:H,4,0)</f>
        <v>0</v>
      </c>
      <c r="H14" s="51" t="str">
        <f>VLOOKUP($A14,Base[],5,0)</f>
        <v>NFS-e/RPA</v>
      </c>
      <c r="I14" s="35"/>
      <c r="J14" s="51" t="str">
        <f>VLOOKUP(ExtratoBanco8[[#This Row],[Nº]],Base!B:H,7,0)</f>
        <v xml:space="preserve">APRESENTAÇÃO PALCOS SUNSET - VERÃO MAIOR PARANÁ </v>
      </c>
      <c r="K14" s="19"/>
      <c r="L14" s="130">
        <v>20000</v>
      </c>
      <c r="M14" s="20">
        <f>M13+ExtratoBanco8[[#This Row],[CRÉDITO]]-ExtratoBanco8[[#This Row],[DÉBITO]]</f>
        <v>-161564.83999999982</v>
      </c>
      <c r="N14" s="131" t="s">
        <v>642</v>
      </c>
    </row>
    <row r="15" spans="1:14" ht="12.75" customHeight="1" x14ac:dyDescent="0.25">
      <c r="A15" s="128">
        <v>42</v>
      </c>
      <c r="B15" s="128"/>
      <c r="C15" s="17" t="s">
        <v>628</v>
      </c>
      <c r="D15" s="129">
        <v>45673</v>
      </c>
      <c r="E15" s="17" t="str">
        <f>VLOOKUP(A15,Base[],2,0)</f>
        <v xml:space="preserve">3.3.90.39.00 – OUTROES SERVIÇOS DE TERCEIROS </v>
      </c>
      <c r="F15" s="17" t="str">
        <f>VLOOKUP(A15,Base!B:D,3,0)</f>
        <v>Contratação por Edital de Chamamento nº 01/2024</v>
      </c>
      <c r="G15" s="23">
        <f>VLOOKUP(A15,Base!B:H,4,0)</f>
        <v>0</v>
      </c>
      <c r="H15" s="51" t="str">
        <f>VLOOKUP($A15,Base[],5,0)</f>
        <v>NFS-e/RPA</v>
      </c>
      <c r="I15" s="35"/>
      <c r="J15" s="51" t="str">
        <f>VLOOKUP(ExtratoBanco8[[#This Row],[Nº]],Base!B:H,7,0)</f>
        <v xml:space="preserve">APRESENTAÇÃO PALCOS SUNSET - VERÃO MAIOR PARANÁ </v>
      </c>
      <c r="K15" s="19"/>
      <c r="L15" s="130">
        <v>10500</v>
      </c>
      <c r="M15" s="20">
        <f>M14+ExtratoBanco8[[#This Row],[CRÉDITO]]-ExtratoBanco8[[#This Row],[DÉBITO]]</f>
        <v>-172064.83999999982</v>
      </c>
      <c r="N15" s="131" t="s">
        <v>643</v>
      </c>
    </row>
    <row r="16" spans="1:14" ht="12.75" customHeight="1" x14ac:dyDescent="0.25">
      <c r="A16" s="128">
        <v>42</v>
      </c>
      <c r="B16" s="128"/>
      <c r="C16" s="17" t="s">
        <v>628</v>
      </c>
      <c r="D16" s="129">
        <v>45673</v>
      </c>
      <c r="E16" s="17" t="str">
        <f>VLOOKUP(A16,Base[],2,0)</f>
        <v xml:space="preserve">3.3.90.39.00 – OUTROES SERVIÇOS DE TERCEIROS </v>
      </c>
      <c r="F16" s="17" t="str">
        <f>VLOOKUP(A16,Base!B:D,3,0)</f>
        <v>Contratação por Edital de Chamamento nº 01/2024</v>
      </c>
      <c r="G16" s="23">
        <f>VLOOKUP(A16,Base!B:H,4,0)</f>
        <v>0</v>
      </c>
      <c r="H16" s="51" t="str">
        <f>VLOOKUP($A16,Base[],5,0)</f>
        <v>NFS-e/RPA</v>
      </c>
      <c r="I16" s="35"/>
      <c r="J16" s="51" t="str">
        <f>VLOOKUP(ExtratoBanco8[[#This Row],[Nº]],Base!B:H,7,0)</f>
        <v xml:space="preserve">APRESENTAÇÃO PALCOS SUNSET - VERÃO MAIOR PARANÁ </v>
      </c>
      <c r="K16" s="19"/>
      <c r="L16" s="130">
        <v>31000</v>
      </c>
      <c r="M16" s="20">
        <f>M15+ExtratoBanco8[[#This Row],[CRÉDITO]]-ExtratoBanco8[[#This Row],[DÉBITO]]</f>
        <v>-203064.83999999982</v>
      </c>
      <c r="N16" s="131" t="s">
        <v>644</v>
      </c>
    </row>
    <row r="17" spans="1:14" ht="12.75" customHeight="1" x14ac:dyDescent="0.25">
      <c r="A17" s="128">
        <v>14</v>
      </c>
      <c r="B17" s="128"/>
      <c r="C17" s="17" t="s">
        <v>628</v>
      </c>
      <c r="D17" s="129">
        <v>45673</v>
      </c>
      <c r="E17" s="17" t="str">
        <f>VLOOKUP(A17,Base[],2,0)</f>
        <v>3.3.90.39.39 - ENCARGOS FINANCEIROS INDEDUTÍVEIS</v>
      </c>
      <c r="F17" s="17" t="str">
        <f>VLOOKUP(A17,Base!B:D,3,0)</f>
        <v>BANCO DO BRASIL</v>
      </c>
      <c r="G17" s="23">
        <f>VLOOKUP(A17,Base!B:H,4,0)</f>
        <v>191</v>
      </c>
      <c r="H17" s="51" t="str">
        <f>VLOOKUP($A17,Base[],5,0)</f>
        <v>AVISO DE DÉBITO</v>
      </c>
      <c r="I17" s="35"/>
      <c r="J17" s="51" t="str">
        <f>VLOOKUP(ExtratoBanco8[[#This Row],[Nº]],Base!B:H,7,0)</f>
        <v>TARIFA BANCÁRIA</v>
      </c>
      <c r="K17" s="19"/>
      <c r="L17" s="130">
        <v>1.5</v>
      </c>
      <c r="M17" s="20">
        <f>M16+ExtratoBanco8[[#This Row],[CRÉDITO]]-ExtratoBanco8[[#This Row],[DÉBITO]]</f>
        <v>-203066.33999999982</v>
      </c>
      <c r="N17" s="132"/>
    </row>
    <row r="18" spans="1:14" ht="12.75" customHeight="1" x14ac:dyDescent="0.25">
      <c r="A18" s="128">
        <v>14</v>
      </c>
      <c r="B18" s="128"/>
      <c r="C18" s="17" t="s">
        <v>628</v>
      </c>
      <c r="D18" s="129">
        <v>45673</v>
      </c>
      <c r="E18" s="17" t="str">
        <f>VLOOKUP(A18,Base[],2,0)</f>
        <v>3.3.90.39.39 - ENCARGOS FINANCEIROS INDEDUTÍVEIS</v>
      </c>
      <c r="F18" s="17" t="str">
        <f>VLOOKUP(A18,Base!B:D,3,0)</f>
        <v>BANCO DO BRASIL</v>
      </c>
      <c r="G18" s="23">
        <f>VLOOKUP(A18,Base!B:H,4,0)</f>
        <v>191</v>
      </c>
      <c r="H18" s="51" t="str">
        <f>VLOOKUP($A18,Base[],5,0)</f>
        <v>AVISO DE DÉBITO</v>
      </c>
      <c r="I18" s="35"/>
      <c r="J18" s="51" t="str">
        <f>VLOOKUP(ExtratoBanco8[[#This Row],[Nº]],Base!B:H,7,0)</f>
        <v>TARIFA BANCÁRIA</v>
      </c>
      <c r="K18" s="19"/>
      <c r="L18" s="130">
        <v>1.5</v>
      </c>
      <c r="M18" s="20">
        <f>M17+ExtratoBanco8[[#This Row],[CRÉDITO]]-ExtratoBanco8[[#This Row],[DÉBITO]]</f>
        <v>-203067.83999999982</v>
      </c>
      <c r="N18" s="131"/>
    </row>
    <row r="19" spans="1:14" ht="12.75" customHeight="1" x14ac:dyDescent="0.25">
      <c r="A19" s="128">
        <v>14</v>
      </c>
      <c r="B19" s="128"/>
      <c r="C19" s="17" t="s">
        <v>628</v>
      </c>
      <c r="D19" s="129">
        <v>45673</v>
      </c>
      <c r="E19" s="17" t="str">
        <f>VLOOKUP(A19,Base[],2,0)</f>
        <v>3.3.90.39.39 - ENCARGOS FINANCEIROS INDEDUTÍVEIS</v>
      </c>
      <c r="F19" s="17" t="str">
        <f>VLOOKUP(A19,Base!B:D,3,0)</f>
        <v>BANCO DO BRASIL</v>
      </c>
      <c r="G19" s="23">
        <f>VLOOKUP(A19,Base!B:H,4,0)</f>
        <v>191</v>
      </c>
      <c r="H19" s="51" t="str">
        <f>VLOOKUP($A19,Base[],5,0)</f>
        <v>AVISO DE DÉBITO</v>
      </c>
      <c r="I19" s="35"/>
      <c r="J19" s="51" t="str">
        <f>VLOOKUP(ExtratoBanco8[[#This Row],[Nº]],Base!B:H,7,0)</f>
        <v>TARIFA BANCÁRIA</v>
      </c>
      <c r="K19" s="19"/>
      <c r="L19" s="130">
        <v>12.3</v>
      </c>
      <c r="M19" s="20">
        <f>M18+ExtratoBanco8[[#This Row],[CRÉDITO]]-ExtratoBanco8[[#This Row],[DÉBITO]]</f>
        <v>-203080.13999999981</v>
      </c>
      <c r="N19" s="132"/>
    </row>
    <row r="20" spans="1:14" ht="12.75" customHeight="1" x14ac:dyDescent="0.25">
      <c r="A20" s="128">
        <v>14</v>
      </c>
      <c r="B20" s="128"/>
      <c r="C20" s="17" t="s">
        <v>628</v>
      </c>
      <c r="D20" s="129">
        <v>45673</v>
      </c>
      <c r="E20" s="17" t="str">
        <f>VLOOKUP(A20,Base[],2,0)</f>
        <v>3.3.90.39.39 - ENCARGOS FINANCEIROS INDEDUTÍVEIS</v>
      </c>
      <c r="F20" s="17" t="str">
        <f>VLOOKUP(A20,Base!B:D,3,0)</f>
        <v>BANCO DO BRASIL</v>
      </c>
      <c r="G20" s="23">
        <f>VLOOKUP(A20,Base!B:H,4,0)</f>
        <v>191</v>
      </c>
      <c r="H20" s="51" t="str">
        <f>VLOOKUP($A20,Base[],5,0)</f>
        <v>AVISO DE DÉBITO</v>
      </c>
      <c r="I20" s="35"/>
      <c r="J20" s="51" t="str">
        <f>VLOOKUP(ExtratoBanco8[[#This Row],[Nº]],Base!B:H,7,0)</f>
        <v>TARIFA BANCÁRIA</v>
      </c>
      <c r="K20" s="19"/>
      <c r="L20" s="130">
        <v>60</v>
      </c>
      <c r="M20" s="20">
        <f>M19+ExtratoBanco8[[#This Row],[CRÉDITO]]-ExtratoBanco8[[#This Row],[DÉBITO]]</f>
        <v>-203140.13999999981</v>
      </c>
      <c r="N20" s="132"/>
    </row>
    <row r="21" spans="1:14" ht="12.75" customHeight="1" x14ac:dyDescent="0.25">
      <c r="A21" s="128">
        <v>5</v>
      </c>
      <c r="B21" s="128"/>
      <c r="C21" s="17" t="s">
        <v>628</v>
      </c>
      <c r="D21" s="129">
        <v>45673</v>
      </c>
      <c r="E21" s="17" t="str">
        <f>VLOOKUP(A21,Base[],2,0)</f>
        <v>RESGATE APLICAÇÃO</v>
      </c>
      <c r="F21" s="17" t="str">
        <f>VLOOKUP(A21,Base!B:D,3,0)</f>
        <v>PALCOPARANÁ</v>
      </c>
      <c r="G21" s="23" t="str">
        <f>VLOOKUP(A21,Base!B:H,4,0)</f>
        <v>25.298.788/0001-95</v>
      </c>
      <c r="H21" s="51"/>
      <c r="I21" s="35"/>
      <c r="J21" s="51" t="str">
        <f>VLOOKUP(ExtratoBanco8[[#This Row],[Nº]],Base!B:H,7,0)</f>
        <v>RESGATE APLICAÇÃO</v>
      </c>
      <c r="K21" s="19">
        <v>203500</v>
      </c>
      <c r="L21" s="130"/>
      <c r="M21" s="20">
        <f>M20+ExtratoBanco8[[#This Row],[CRÉDITO]]-ExtratoBanco8[[#This Row],[DÉBITO]]</f>
        <v>359.86000000018976</v>
      </c>
      <c r="N21" s="132"/>
    </row>
    <row r="22" spans="1:14" ht="12.75" customHeight="1" x14ac:dyDescent="0.25">
      <c r="A22" s="128">
        <v>5</v>
      </c>
      <c r="B22" s="128"/>
      <c r="C22" s="17" t="s">
        <v>628</v>
      </c>
      <c r="D22" s="129">
        <v>45673</v>
      </c>
      <c r="E22" s="17" t="str">
        <f>VLOOKUP(A22,Base[],2,0)</f>
        <v>RESGATE APLICAÇÃO</v>
      </c>
      <c r="F22" s="17" t="str">
        <f>VLOOKUP(A22,Base!B:D,3,0)</f>
        <v>PALCOPARANÁ</v>
      </c>
      <c r="G22" s="23" t="str">
        <f>VLOOKUP(A22,Base!B:H,4,0)</f>
        <v>25.298.788/0001-95</v>
      </c>
      <c r="H22" s="51"/>
      <c r="I22" s="35"/>
      <c r="J22" s="51" t="str">
        <f>VLOOKUP(ExtratoBanco8[[#This Row],[Nº]],Base!B:H,7,0)</f>
        <v>RESGATE APLICAÇÃO</v>
      </c>
      <c r="K22" s="19">
        <v>887.26</v>
      </c>
      <c r="L22" s="130"/>
      <c r="M22" s="20">
        <f>M21+ExtratoBanco8[[#This Row],[CRÉDITO]]-ExtratoBanco8[[#This Row],[DÉBITO]]</f>
        <v>1247.1200000001897</v>
      </c>
      <c r="N22" s="131"/>
    </row>
    <row r="23" spans="1:14" ht="12.75" customHeight="1" x14ac:dyDescent="0.2">
      <c r="A23" s="128">
        <v>55</v>
      </c>
      <c r="B23" s="128"/>
      <c r="C23" s="17" t="s">
        <v>628</v>
      </c>
      <c r="D23" s="129">
        <v>45674</v>
      </c>
      <c r="E23" s="17" t="str">
        <f>VLOOKUP(A23,Base[],2,0)</f>
        <v xml:space="preserve">3.3.90.39.23 – FESTIVAIS E HOMENAGENS </v>
      </c>
      <c r="F23" s="17" t="s">
        <v>645</v>
      </c>
      <c r="G23" s="23" t="s">
        <v>646</v>
      </c>
      <c r="H23" s="54" t="s">
        <v>76</v>
      </c>
      <c r="I23" s="35">
        <v>1612</v>
      </c>
      <c r="J23" s="51" t="s">
        <v>647</v>
      </c>
      <c r="K23" s="19"/>
      <c r="L23" s="130">
        <v>2326253.77</v>
      </c>
      <c r="M23" s="20">
        <f>M22+ExtratoBanco8[[#This Row],[CRÉDITO]]-ExtratoBanco8[[#This Row],[DÉBITO]]</f>
        <v>-2325006.65</v>
      </c>
      <c r="N23" s="131" t="s">
        <v>648</v>
      </c>
    </row>
    <row r="24" spans="1:14" ht="12.75" customHeight="1" x14ac:dyDescent="0.25">
      <c r="A24" s="128">
        <v>14</v>
      </c>
      <c r="B24" s="128"/>
      <c r="C24" s="17" t="s">
        <v>628</v>
      </c>
      <c r="D24" s="129">
        <v>45674</v>
      </c>
      <c r="E24" s="17" t="str">
        <f>VLOOKUP(A24,Base[],2,0)</f>
        <v>3.3.90.39.39 - ENCARGOS FINANCEIROS INDEDUTÍVEIS</v>
      </c>
      <c r="F24" s="17" t="str">
        <f>VLOOKUP(A24,Base!B:D,3,0)</f>
        <v>BANCO DO BRASIL</v>
      </c>
      <c r="G24" s="23">
        <f>VLOOKUP(A24,Base!B:H,4,0)</f>
        <v>191</v>
      </c>
      <c r="H24" s="51" t="str">
        <f>VLOOKUP($A24,Base[],5,0)</f>
        <v>AVISO DE DÉBITO</v>
      </c>
      <c r="I24" s="35"/>
      <c r="J24" s="51" t="str">
        <f>VLOOKUP(ExtratoBanco8[[#This Row],[Nº]],Base!B:H,7,0)</f>
        <v>TARIFA BANCÁRIA</v>
      </c>
      <c r="K24" s="19"/>
      <c r="L24" s="130">
        <v>10</v>
      </c>
      <c r="M24" s="20">
        <f>M23+ExtratoBanco8[[#This Row],[CRÉDITO]]-ExtratoBanco8[[#This Row],[DÉBITO]]</f>
        <v>-2325016.65</v>
      </c>
      <c r="N24" s="131"/>
    </row>
    <row r="25" spans="1:14" ht="12.75" customHeight="1" x14ac:dyDescent="0.25">
      <c r="A25" s="128">
        <v>5</v>
      </c>
      <c r="B25" s="128"/>
      <c r="C25" s="17" t="s">
        <v>628</v>
      </c>
      <c r="D25" s="129">
        <v>45674</v>
      </c>
      <c r="E25" s="17" t="str">
        <f>VLOOKUP(A25,Base[],2,0)</f>
        <v>RESGATE APLICAÇÃO</v>
      </c>
      <c r="F25" s="17" t="str">
        <f>VLOOKUP(A25,Base!B:D,3,0)</f>
        <v>PALCOPARANÁ</v>
      </c>
      <c r="G25" s="23" t="str">
        <f>VLOOKUP(A25,Base!B:H,4,0)</f>
        <v>25.298.788/0001-95</v>
      </c>
      <c r="H25" s="51">
        <f>VLOOKUP($A25,Base[],5,0)</f>
        <v>0</v>
      </c>
      <c r="I25" s="35"/>
      <c r="J25" s="51" t="str">
        <f>VLOOKUP(ExtratoBanco8[[#This Row],[Nº]],Base!B:H,7,0)</f>
        <v>RESGATE APLICAÇÃO</v>
      </c>
      <c r="K25" s="19">
        <v>2325500</v>
      </c>
      <c r="L25" s="130"/>
      <c r="M25" s="20">
        <f>M24+ExtratoBanco8[[#This Row],[CRÉDITO]]-ExtratoBanco8[[#This Row],[DÉBITO]]</f>
        <v>483.35000000009313</v>
      </c>
      <c r="N25" s="132"/>
    </row>
    <row r="26" spans="1:14" ht="12.75" customHeight="1" x14ac:dyDescent="0.25">
      <c r="A26" s="128">
        <v>5</v>
      </c>
      <c r="B26" s="128"/>
      <c r="C26" s="17" t="s">
        <v>628</v>
      </c>
      <c r="D26" s="129">
        <v>45674</v>
      </c>
      <c r="E26" s="17" t="str">
        <f>VLOOKUP(A26,Base[],2,0)</f>
        <v>RESGATE APLICAÇÃO</v>
      </c>
      <c r="F26" s="17" t="str">
        <f>VLOOKUP(A26,Base!B:D,3,0)</f>
        <v>PALCOPARANÁ</v>
      </c>
      <c r="G26" s="23" t="str">
        <f>VLOOKUP(A26,Base!B:H,4,0)</f>
        <v>25.298.788/0001-95</v>
      </c>
      <c r="H26" s="51">
        <f>VLOOKUP($A26,Base[],5,0)</f>
        <v>0</v>
      </c>
      <c r="I26" s="35"/>
      <c r="J26" s="51" t="str">
        <f>VLOOKUP(ExtratoBanco8[[#This Row],[Nº]],Base!B:H,7,0)</f>
        <v>RESGATE APLICAÇÃO</v>
      </c>
      <c r="K26" s="19">
        <v>11162.4</v>
      </c>
      <c r="L26" s="130"/>
      <c r="M26" s="20">
        <f>M25+ExtratoBanco8[[#This Row],[CRÉDITO]]-ExtratoBanco8[[#This Row],[DÉBITO]]</f>
        <v>11645.750000000093</v>
      </c>
      <c r="N26" s="132"/>
    </row>
    <row r="27" spans="1:14" ht="12.75" customHeight="1" x14ac:dyDescent="0.25">
      <c r="A27" s="128">
        <v>19</v>
      </c>
      <c r="B27" s="128"/>
      <c r="C27" s="17" t="s">
        <v>628</v>
      </c>
      <c r="D27" s="129">
        <v>45680</v>
      </c>
      <c r="E27" s="17" t="str">
        <f>VLOOKUP(A27,Base[],2,0)</f>
        <v>CRÉDITO</v>
      </c>
      <c r="F27" s="17" t="str">
        <f>VLOOKUP(A27,Base!B:D,3,0)</f>
        <v>PALCOPARANÁ</v>
      </c>
      <c r="G27" s="23" t="str">
        <f>VLOOKUP(A27,Base!B:H,4,0)</f>
        <v>25.298.788/0001-95</v>
      </c>
      <c r="H27" s="51">
        <f>VLOOKUP($A27,Base[],5,0)</f>
        <v>0</v>
      </c>
      <c r="I27" s="35"/>
      <c r="J27" s="51" t="str">
        <f>VLOOKUP(ExtratoBanco8[[#This Row],[Nº]],Base!B:H,7,0)</f>
        <v>REPASSE SECRETARIA DA CULTURA - CONTRATO DE GESTÃO</v>
      </c>
      <c r="K27" s="19">
        <v>6221828.5</v>
      </c>
      <c r="L27" s="130"/>
      <c r="M27" s="20">
        <f>M26+ExtratoBanco8[[#This Row],[CRÉDITO]]-ExtratoBanco8[[#This Row],[DÉBITO]]</f>
        <v>6233474.25</v>
      </c>
      <c r="N27" s="132"/>
    </row>
    <row r="28" spans="1:14" ht="12.75" customHeight="1" x14ac:dyDescent="0.2">
      <c r="A28" s="128">
        <v>42</v>
      </c>
      <c r="B28" s="128"/>
      <c r="C28" s="17" t="s">
        <v>628</v>
      </c>
      <c r="D28" s="129">
        <v>45680</v>
      </c>
      <c r="E28" s="17" t="str">
        <f>VLOOKUP(A28,Base[],2,0)</f>
        <v xml:space="preserve">3.3.90.39.00 – OUTROES SERVIÇOS DE TERCEIROS </v>
      </c>
      <c r="F28" s="17" t="str">
        <f>VLOOKUP(A28,Base!B:D,3,0)</f>
        <v>Contratação por Edital de Chamamento nº 01/2024</v>
      </c>
      <c r="G28" s="23">
        <f>VLOOKUP(A28,Base!B:H,4,0)</f>
        <v>0</v>
      </c>
      <c r="H28" s="54" t="s">
        <v>76</v>
      </c>
      <c r="I28" s="35">
        <v>33</v>
      </c>
      <c r="J28" s="51" t="str">
        <f>VLOOKUP(ExtratoBanco8[[#This Row],[Nº]],Base!B:H,7,0)</f>
        <v xml:space="preserve">APRESENTAÇÃO PALCOS SUNSET - VERÃO MAIOR PARANÁ </v>
      </c>
      <c r="K28" s="19"/>
      <c r="L28" s="130">
        <v>13000</v>
      </c>
      <c r="M28" s="20">
        <f>M27+ExtratoBanco8[[#This Row],[CRÉDITO]]-ExtratoBanco8[[#This Row],[DÉBITO]]</f>
        <v>6220474.25</v>
      </c>
      <c r="N28" s="132">
        <v>12</v>
      </c>
    </row>
    <row r="29" spans="1:14" ht="12.75" customHeight="1" x14ac:dyDescent="0.2">
      <c r="A29" s="128">
        <v>42</v>
      </c>
      <c r="B29" s="128"/>
      <c r="C29" s="17" t="s">
        <v>628</v>
      </c>
      <c r="D29" s="129">
        <v>45680</v>
      </c>
      <c r="E29" s="17" t="str">
        <f>VLOOKUP(A29,Base[],2,0)</f>
        <v xml:space="preserve">3.3.90.39.00 – OUTROES SERVIÇOS DE TERCEIROS </v>
      </c>
      <c r="F29" s="17" t="str">
        <f>VLOOKUP(A29,Base!B:D,3,0)</f>
        <v>Contratação por Edital de Chamamento nº 01/2024</v>
      </c>
      <c r="G29" s="23">
        <f>VLOOKUP(A29,Base!B:H,4,0)</f>
        <v>0</v>
      </c>
      <c r="H29" s="54" t="s">
        <v>76</v>
      </c>
      <c r="I29" s="35"/>
      <c r="J29" s="51" t="str">
        <f>VLOOKUP(ExtratoBanco8[[#This Row],[Nº]],Base!B:H,7,0)</f>
        <v xml:space="preserve">APRESENTAÇÃO PALCOS SUNSET - VERÃO MAIOR PARANÁ </v>
      </c>
      <c r="K29" s="19"/>
      <c r="L29" s="130">
        <v>25000</v>
      </c>
      <c r="M29" s="20">
        <f>M28+ExtratoBanco8[[#This Row],[CRÉDITO]]-ExtratoBanco8[[#This Row],[DÉBITO]]</f>
        <v>6195474.25</v>
      </c>
      <c r="N29" s="132">
        <v>13</v>
      </c>
    </row>
    <row r="30" spans="1:14" ht="12.75" customHeight="1" x14ac:dyDescent="0.2">
      <c r="A30" s="128">
        <v>42</v>
      </c>
      <c r="B30" s="128"/>
      <c r="C30" s="17" t="s">
        <v>628</v>
      </c>
      <c r="D30" s="129">
        <v>45680</v>
      </c>
      <c r="E30" s="17" t="str">
        <f>VLOOKUP(A30,Base[],2,0)</f>
        <v xml:space="preserve">3.3.90.39.00 – OUTROES SERVIÇOS DE TERCEIROS </v>
      </c>
      <c r="F30" s="17" t="str">
        <f>VLOOKUP(A30,Base!B:D,3,0)</f>
        <v>Contratação por Edital de Chamamento nº 01/2024</v>
      </c>
      <c r="G30" s="23">
        <f>VLOOKUP(A30,Base!B:H,4,0)</f>
        <v>0</v>
      </c>
      <c r="H30" s="54" t="s">
        <v>76</v>
      </c>
      <c r="I30" s="35"/>
      <c r="J30" s="51" t="str">
        <f>VLOOKUP(ExtratoBanco8[[#This Row],[Nº]],Base!B:H,7,0)</f>
        <v xml:space="preserve">APRESENTAÇÃO PALCOS SUNSET - VERÃO MAIOR PARANÁ </v>
      </c>
      <c r="K30" s="19"/>
      <c r="L30" s="130">
        <v>25000</v>
      </c>
      <c r="M30" s="20">
        <f>M29+ExtratoBanco8[[#This Row],[CRÉDITO]]-ExtratoBanco8[[#This Row],[DÉBITO]]</f>
        <v>6170474.25</v>
      </c>
      <c r="N30" s="132">
        <v>14</v>
      </c>
    </row>
    <row r="31" spans="1:14" ht="12.75" customHeight="1" x14ac:dyDescent="0.2">
      <c r="A31" s="128">
        <v>42</v>
      </c>
      <c r="B31" s="128"/>
      <c r="C31" s="17" t="s">
        <v>628</v>
      </c>
      <c r="D31" s="129">
        <v>45680</v>
      </c>
      <c r="E31" s="17" t="str">
        <f>VLOOKUP(A31,Base[],2,0)</f>
        <v xml:space="preserve">3.3.90.39.00 – OUTROES SERVIÇOS DE TERCEIROS </v>
      </c>
      <c r="F31" s="17" t="str">
        <f>VLOOKUP(A31,Base!B:D,3,0)</f>
        <v>Contratação por Edital de Chamamento nº 01/2024</v>
      </c>
      <c r="G31" s="23">
        <f>VLOOKUP(A31,Base!B:H,4,0)</f>
        <v>0</v>
      </c>
      <c r="H31" s="54" t="s">
        <v>76</v>
      </c>
      <c r="I31" s="35"/>
      <c r="J31" s="51" t="str">
        <f>VLOOKUP(ExtratoBanco8[[#This Row],[Nº]],Base!B:H,7,0)</f>
        <v xml:space="preserve">APRESENTAÇÃO PALCOS SUNSET - VERÃO MAIOR PARANÁ </v>
      </c>
      <c r="K31" s="19"/>
      <c r="L31" s="130">
        <v>11200</v>
      </c>
      <c r="M31" s="20">
        <f>M30+ExtratoBanco8[[#This Row],[CRÉDITO]]-ExtratoBanco8[[#This Row],[DÉBITO]]</f>
        <v>6159274.25</v>
      </c>
      <c r="N31" s="132">
        <v>15</v>
      </c>
    </row>
    <row r="32" spans="1:14" ht="12.75" customHeight="1" x14ac:dyDescent="0.2">
      <c r="A32" s="128">
        <v>42</v>
      </c>
      <c r="B32" s="128"/>
      <c r="C32" s="17" t="s">
        <v>628</v>
      </c>
      <c r="D32" s="129">
        <v>45680</v>
      </c>
      <c r="E32" s="17" t="str">
        <f>VLOOKUP(A32,Base[],2,0)</f>
        <v xml:space="preserve">3.3.90.39.00 – OUTROES SERVIÇOS DE TERCEIROS </v>
      </c>
      <c r="F32" s="17" t="str">
        <f>VLOOKUP(A32,Base!B:D,3,0)</f>
        <v>Contratação por Edital de Chamamento nº 01/2024</v>
      </c>
      <c r="G32" s="23">
        <f>VLOOKUP(A32,Base!B:H,4,0)</f>
        <v>0</v>
      </c>
      <c r="H32" s="54" t="s">
        <v>76</v>
      </c>
      <c r="I32" s="35"/>
      <c r="J32" s="51" t="str">
        <f>VLOOKUP(ExtratoBanco8[[#This Row],[Nº]],Base!B:H,7,0)</f>
        <v xml:space="preserve">APRESENTAÇÃO PALCOS SUNSET - VERÃO MAIOR PARANÁ </v>
      </c>
      <c r="K32" s="19"/>
      <c r="L32" s="130">
        <v>8000</v>
      </c>
      <c r="M32" s="20">
        <f>M31+ExtratoBanco8[[#This Row],[CRÉDITO]]-ExtratoBanco8[[#This Row],[DÉBITO]]</f>
        <v>6151274.25</v>
      </c>
      <c r="N32" s="132">
        <v>16</v>
      </c>
    </row>
    <row r="33" spans="1:14" ht="12.75" customHeight="1" x14ac:dyDescent="0.25">
      <c r="A33" s="128">
        <v>14</v>
      </c>
      <c r="B33" s="128"/>
      <c r="C33" s="17" t="s">
        <v>628</v>
      </c>
      <c r="D33" s="129">
        <v>45680</v>
      </c>
      <c r="E33" s="17" t="str">
        <f>VLOOKUP(A33,Base[],2,0)</f>
        <v>3.3.90.39.39 - ENCARGOS FINANCEIROS INDEDUTÍVEIS</v>
      </c>
      <c r="F33" s="17" t="str">
        <f>VLOOKUP(A33,Base!B:D,3,0)</f>
        <v>BANCO DO BRASIL</v>
      </c>
      <c r="G33" s="23">
        <f>VLOOKUP(A33,Base!B:H,4,0)</f>
        <v>191</v>
      </c>
      <c r="H33" s="51" t="str">
        <f>VLOOKUP($A33,Base[],5,0)</f>
        <v>AVISO DE DÉBITO</v>
      </c>
      <c r="I33" s="35"/>
      <c r="J33" s="51" t="str">
        <f>VLOOKUP(ExtratoBanco8[[#This Row],[Nº]],Base!B:H,7,0)</f>
        <v>TARIFA BANCÁRIA</v>
      </c>
      <c r="K33" s="19"/>
      <c r="L33" s="130">
        <v>12.3</v>
      </c>
      <c r="M33" s="20">
        <f>M32+ExtratoBanco8[[#This Row],[CRÉDITO]]-ExtratoBanco8[[#This Row],[DÉBITO]]</f>
        <v>6151261.9500000002</v>
      </c>
      <c r="N33" s="132"/>
    </row>
    <row r="34" spans="1:14" ht="12.75" customHeight="1" x14ac:dyDescent="0.25">
      <c r="A34" s="128">
        <v>14</v>
      </c>
      <c r="B34" s="128"/>
      <c r="C34" s="17" t="s">
        <v>628</v>
      </c>
      <c r="D34" s="129">
        <v>45680</v>
      </c>
      <c r="E34" s="17" t="str">
        <f>VLOOKUP(A34,Base[],2,0)</f>
        <v>3.3.90.39.39 - ENCARGOS FINANCEIROS INDEDUTÍVEIS</v>
      </c>
      <c r="F34" s="17" t="str">
        <f>VLOOKUP(A34,Base!B:D,3,0)</f>
        <v>BANCO DO BRASIL</v>
      </c>
      <c r="G34" s="23">
        <f>VLOOKUP(A34,Base!B:H,4,0)</f>
        <v>191</v>
      </c>
      <c r="H34" s="51" t="str">
        <f>VLOOKUP($A34,Base[],5,0)</f>
        <v>AVISO DE DÉBITO</v>
      </c>
      <c r="I34" s="35"/>
      <c r="J34" s="51" t="str">
        <f>VLOOKUP(ExtratoBanco8[[#This Row],[Nº]],Base!B:H,7,0)</f>
        <v>TARIFA BANCÁRIA</v>
      </c>
      <c r="K34" s="19"/>
      <c r="L34" s="130">
        <v>12.3</v>
      </c>
      <c r="M34" s="20">
        <f>M33+ExtratoBanco8[[#This Row],[CRÉDITO]]-ExtratoBanco8[[#This Row],[DÉBITO]]</f>
        <v>6151249.6500000004</v>
      </c>
      <c r="N34" s="132"/>
    </row>
    <row r="35" spans="1:14" ht="12.75" customHeight="1" x14ac:dyDescent="0.25">
      <c r="A35" s="128">
        <v>14</v>
      </c>
      <c r="B35" s="128"/>
      <c r="C35" s="17" t="s">
        <v>628</v>
      </c>
      <c r="D35" s="129">
        <v>45680</v>
      </c>
      <c r="E35" s="17" t="str">
        <f>VLOOKUP(A35,Base[],2,0)</f>
        <v>3.3.90.39.39 - ENCARGOS FINANCEIROS INDEDUTÍVEIS</v>
      </c>
      <c r="F35" s="17" t="str">
        <f>VLOOKUP(A35,Base!B:D,3,0)</f>
        <v>BANCO DO BRASIL</v>
      </c>
      <c r="G35" s="23">
        <f>VLOOKUP(A35,Base!B:H,4,0)</f>
        <v>191</v>
      </c>
      <c r="H35" s="51" t="str">
        <f>VLOOKUP($A35,Base[],5,0)</f>
        <v>AVISO DE DÉBITO</v>
      </c>
      <c r="I35" s="35"/>
      <c r="J35" s="51" t="str">
        <f>VLOOKUP(ExtratoBanco8[[#This Row],[Nº]],Base!B:H,7,0)</f>
        <v>TARIFA BANCÁRIA</v>
      </c>
      <c r="K35" s="19"/>
      <c r="L35" s="130">
        <v>12.3</v>
      </c>
      <c r="M35" s="20">
        <f>M34+ExtratoBanco8[[#This Row],[CRÉDITO]]-ExtratoBanco8[[#This Row],[DÉBITO]]</f>
        <v>6151237.3500000006</v>
      </c>
      <c r="N35" s="132"/>
    </row>
    <row r="36" spans="1:14" ht="12.75" customHeight="1" x14ac:dyDescent="0.25">
      <c r="A36" s="128">
        <v>14</v>
      </c>
      <c r="B36" s="128"/>
      <c r="C36" s="17" t="s">
        <v>628</v>
      </c>
      <c r="D36" s="129">
        <v>45680</v>
      </c>
      <c r="E36" s="17" t="str">
        <f>VLOOKUP(A36,Base[],2,0)</f>
        <v>3.3.90.39.39 - ENCARGOS FINANCEIROS INDEDUTÍVEIS</v>
      </c>
      <c r="F36" s="17" t="str">
        <f>VLOOKUP(A36,Base!B:D,3,0)</f>
        <v>BANCO DO BRASIL</v>
      </c>
      <c r="G36" s="23">
        <f>VLOOKUP(A36,Base!B:H,4,0)</f>
        <v>191</v>
      </c>
      <c r="H36" s="51" t="str">
        <f>VLOOKUP($A36,Base[],5,0)</f>
        <v>AVISO DE DÉBITO</v>
      </c>
      <c r="I36" s="35"/>
      <c r="J36" s="51" t="str">
        <f>VLOOKUP(ExtratoBanco8[[#This Row],[Nº]],Base!B:H,7,0)</f>
        <v>TARIFA BANCÁRIA</v>
      </c>
      <c r="K36" s="19"/>
      <c r="L36" s="130">
        <v>12.3</v>
      </c>
      <c r="M36" s="20">
        <f>M35+ExtratoBanco8[[#This Row],[CRÉDITO]]-ExtratoBanco8[[#This Row],[DÉBITO]]</f>
        <v>6151225.0500000007</v>
      </c>
      <c r="N36" s="132"/>
    </row>
    <row r="37" spans="1:14" ht="12.75" customHeight="1" x14ac:dyDescent="0.25">
      <c r="A37" s="128">
        <v>14</v>
      </c>
      <c r="B37" s="128"/>
      <c r="C37" s="17" t="s">
        <v>628</v>
      </c>
      <c r="D37" s="129">
        <v>45680</v>
      </c>
      <c r="E37" s="17" t="str">
        <f>VLOOKUP(A37,Base[],2,0)</f>
        <v>3.3.90.39.39 - ENCARGOS FINANCEIROS INDEDUTÍVEIS</v>
      </c>
      <c r="F37" s="17" t="str">
        <f>VLOOKUP(A37,Base!B:D,3,0)</f>
        <v>BANCO DO BRASIL</v>
      </c>
      <c r="G37" s="23">
        <f>VLOOKUP(A37,Base!B:H,4,0)</f>
        <v>191</v>
      </c>
      <c r="H37" s="51" t="str">
        <f>VLOOKUP($A37,Base[],5,0)</f>
        <v>AVISO DE DÉBITO</v>
      </c>
      <c r="I37" s="35"/>
      <c r="J37" s="51" t="str">
        <f>VLOOKUP(ExtratoBanco8[[#This Row],[Nº]],Base!B:H,7,0)</f>
        <v>TARIFA BANCÁRIA</v>
      </c>
      <c r="K37" s="19"/>
      <c r="L37" s="130">
        <v>12.3</v>
      </c>
      <c r="M37" s="20">
        <f>M36+ExtratoBanco8[[#This Row],[CRÉDITO]]-ExtratoBanco8[[#This Row],[DÉBITO]]</f>
        <v>6151212.7500000009</v>
      </c>
      <c r="N37" s="132"/>
    </row>
    <row r="38" spans="1:14" ht="12.75" customHeight="1" x14ac:dyDescent="0.2">
      <c r="A38" s="128">
        <v>42</v>
      </c>
      <c r="B38" s="128"/>
      <c r="C38" s="17" t="s">
        <v>628</v>
      </c>
      <c r="D38" s="129">
        <v>45686</v>
      </c>
      <c r="E38" s="17" t="str">
        <f>VLOOKUP(A38,Base[],2,0)</f>
        <v xml:space="preserve">3.3.90.39.00 – OUTROES SERVIÇOS DE TERCEIROS </v>
      </c>
      <c r="F38" s="17" t="str">
        <f>VLOOKUP(A38,Base!B:D,3,0)</f>
        <v>Contratação por Edital de Chamamento nº 01/2024</v>
      </c>
      <c r="G38" s="23">
        <f>VLOOKUP(A38,Base!B:H,4,0)</f>
        <v>0</v>
      </c>
      <c r="H38" s="54" t="s">
        <v>76</v>
      </c>
      <c r="I38" s="35"/>
      <c r="J38" s="51" t="str">
        <f>VLOOKUP(ExtratoBanco8[[#This Row],[Nº]],Base!B:H,7,0)</f>
        <v xml:space="preserve">APRESENTAÇÃO PALCOS SUNSET - VERÃO MAIOR PARANÁ </v>
      </c>
      <c r="K38" s="19"/>
      <c r="L38" s="130">
        <v>18500</v>
      </c>
      <c r="M38" s="20">
        <f>M37+ExtratoBanco8[[#This Row],[CRÉDITO]]-ExtratoBanco8[[#This Row],[DÉBITO]]</f>
        <v>6132712.7500000009</v>
      </c>
      <c r="N38" s="132">
        <v>17</v>
      </c>
    </row>
    <row r="39" spans="1:14" ht="12.75" customHeight="1" x14ac:dyDescent="0.25">
      <c r="A39" s="128">
        <v>14</v>
      </c>
      <c r="B39" s="128"/>
      <c r="C39" s="17" t="s">
        <v>628</v>
      </c>
      <c r="D39" s="129">
        <v>45686</v>
      </c>
      <c r="E39" s="17" t="str">
        <f>VLOOKUP(A39,Base[],2,0)</f>
        <v>3.3.90.39.39 - ENCARGOS FINANCEIROS INDEDUTÍVEIS</v>
      </c>
      <c r="F39" s="17" t="str">
        <f>VLOOKUP(A39,Base!B:D,3,0)</f>
        <v>BANCO DO BRASIL</v>
      </c>
      <c r="G39" s="23">
        <f>VLOOKUP(A39,Base!B:H,4,0)</f>
        <v>191</v>
      </c>
      <c r="H39" s="51" t="str">
        <f>VLOOKUP($A39,Base[],5,0)</f>
        <v>AVISO DE DÉBITO</v>
      </c>
      <c r="I39" s="35"/>
      <c r="J39" s="51" t="str">
        <f>VLOOKUP(ExtratoBanco8[[#This Row],[Nº]],Base!B:H,7,0)</f>
        <v>TARIFA BANCÁRIA</v>
      </c>
      <c r="K39" s="19"/>
      <c r="L39" s="130">
        <v>1.5</v>
      </c>
      <c r="M39" s="20">
        <f>M38+ExtratoBanco8[[#This Row],[CRÉDITO]]-ExtratoBanco8[[#This Row],[DÉBITO]]</f>
        <v>6132711.2500000009</v>
      </c>
      <c r="N39" s="132"/>
    </row>
    <row r="40" spans="1:14" ht="12.75" customHeight="1" x14ac:dyDescent="0.2">
      <c r="A40" s="128">
        <v>42</v>
      </c>
      <c r="B40" s="128"/>
      <c r="C40" s="17" t="s">
        <v>628</v>
      </c>
      <c r="D40" s="129">
        <v>45688</v>
      </c>
      <c r="E40" s="17" t="str">
        <f>VLOOKUP(A40,Base[],2,0)</f>
        <v xml:space="preserve">3.3.90.39.00 – OUTROES SERVIÇOS DE TERCEIROS </v>
      </c>
      <c r="F40" s="17" t="str">
        <f>VLOOKUP(A40,Base!B:D,3,0)</f>
        <v>Contratação por Edital de Chamamento nº 01/2024</v>
      </c>
      <c r="G40" s="23">
        <f>VLOOKUP(A40,Base!B:H,4,0)</f>
        <v>0</v>
      </c>
      <c r="H40" s="54" t="s">
        <v>76</v>
      </c>
      <c r="I40" s="35"/>
      <c r="J40" s="51" t="str">
        <f>VLOOKUP(ExtratoBanco8[[#This Row],[Nº]],Base!B:H,7,0)</f>
        <v xml:space="preserve">APRESENTAÇÃO PALCOS SUNSET - VERÃO MAIOR PARANÁ </v>
      </c>
      <c r="K40" s="19"/>
      <c r="L40" s="130">
        <v>8000</v>
      </c>
      <c r="M40" s="20">
        <f>M39+ExtratoBanco8[[#This Row],[CRÉDITO]]-ExtratoBanco8[[#This Row],[DÉBITO]]</f>
        <v>6124711.2500000009</v>
      </c>
      <c r="N40" s="132">
        <v>18</v>
      </c>
    </row>
    <row r="41" spans="1:14" ht="12.75" customHeight="1" x14ac:dyDescent="0.2">
      <c r="A41" s="128">
        <v>42</v>
      </c>
      <c r="B41" s="128"/>
      <c r="C41" s="17" t="s">
        <v>628</v>
      </c>
      <c r="D41" s="129">
        <v>45688</v>
      </c>
      <c r="E41" s="17" t="str">
        <f>VLOOKUP(A41,Base[],2,0)</f>
        <v xml:space="preserve">3.3.90.39.00 – OUTROES SERVIÇOS DE TERCEIROS </v>
      </c>
      <c r="F41" s="17" t="str">
        <f>VLOOKUP(A41,Base!B:D,3,0)</f>
        <v>Contratação por Edital de Chamamento nº 01/2024</v>
      </c>
      <c r="G41" s="23">
        <f>VLOOKUP(A41,Base!B:H,4,0)</f>
        <v>0</v>
      </c>
      <c r="H41" s="54" t="s">
        <v>76</v>
      </c>
      <c r="I41" s="35"/>
      <c r="J41" s="51" t="str">
        <f>VLOOKUP(ExtratoBanco8[[#This Row],[Nº]],Base!B:H,7,0)</f>
        <v xml:space="preserve">APRESENTAÇÃO PALCOS SUNSET - VERÃO MAIOR PARANÁ </v>
      </c>
      <c r="K41" s="19"/>
      <c r="L41" s="130">
        <v>40000</v>
      </c>
      <c r="M41" s="20">
        <f>M40+ExtratoBanco8[[#This Row],[CRÉDITO]]-ExtratoBanco8[[#This Row],[DÉBITO]]</f>
        <v>6084711.2500000009</v>
      </c>
      <c r="N41" s="132">
        <v>19</v>
      </c>
    </row>
    <row r="42" spans="1:14" ht="12.75" customHeight="1" x14ac:dyDescent="0.2">
      <c r="A42" s="128">
        <v>42</v>
      </c>
      <c r="B42" s="128"/>
      <c r="C42" s="17" t="s">
        <v>628</v>
      </c>
      <c r="D42" s="129">
        <v>45688</v>
      </c>
      <c r="E42" s="17" t="str">
        <f>VLOOKUP(A42,Base[],2,0)</f>
        <v xml:space="preserve">3.3.90.39.00 – OUTROES SERVIÇOS DE TERCEIROS </v>
      </c>
      <c r="F42" s="17" t="str">
        <f>VLOOKUP(A42,Base!B:D,3,0)</f>
        <v>Contratação por Edital de Chamamento nº 01/2024</v>
      </c>
      <c r="G42" s="23">
        <f>VLOOKUP(A42,Base!B:H,4,0)</f>
        <v>0</v>
      </c>
      <c r="H42" s="54" t="s">
        <v>76</v>
      </c>
      <c r="I42" s="35"/>
      <c r="J42" s="51" t="str">
        <f>VLOOKUP(ExtratoBanco8[[#This Row],[Nº]],Base!B:H,7,0)</f>
        <v xml:space="preserve">APRESENTAÇÃO PALCOS SUNSET - VERÃO MAIOR PARANÁ </v>
      </c>
      <c r="K42" s="19"/>
      <c r="L42" s="130">
        <v>35000</v>
      </c>
      <c r="M42" s="20">
        <f>M41+ExtratoBanco8[[#This Row],[CRÉDITO]]-ExtratoBanco8[[#This Row],[DÉBITO]]</f>
        <v>6049711.2500000009</v>
      </c>
      <c r="N42" s="132">
        <v>20</v>
      </c>
    </row>
    <row r="43" spans="1:14" ht="12.75" customHeight="1" x14ac:dyDescent="0.2">
      <c r="A43" s="128">
        <v>42</v>
      </c>
      <c r="B43" s="128"/>
      <c r="C43" s="17" t="s">
        <v>628</v>
      </c>
      <c r="D43" s="129">
        <v>45688</v>
      </c>
      <c r="E43" s="17" t="str">
        <f>VLOOKUP(A43,Base[],2,0)</f>
        <v xml:space="preserve">3.3.90.39.00 – OUTROES SERVIÇOS DE TERCEIROS </v>
      </c>
      <c r="F43" s="17" t="str">
        <f>VLOOKUP(A43,Base!B:D,3,0)</f>
        <v>Contratação por Edital de Chamamento nº 01/2024</v>
      </c>
      <c r="G43" s="23">
        <f>VLOOKUP(A43,Base!B:H,4,0)</f>
        <v>0</v>
      </c>
      <c r="H43" s="54" t="s">
        <v>76</v>
      </c>
      <c r="I43" s="35"/>
      <c r="J43" s="51" t="str">
        <f>VLOOKUP(ExtratoBanco8[[#This Row],[Nº]],Base!B:H,7,0)</f>
        <v xml:space="preserve">APRESENTAÇÃO PALCOS SUNSET - VERÃO MAIOR PARANÁ </v>
      </c>
      <c r="K43" s="19"/>
      <c r="L43" s="130">
        <v>30000</v>
      </c>
      <c r="M43" s="20">
        <f>M42+ExtratoBanco8[[#This Row],[CRÉDITO]]-ExtratoBanco8[[#This Row],[DÉBITO]]</f>
        <v>6019711.2500000009</v>
      </c>
      <c r="N43" s="132">
        <v>21</v>
      </c>
    </row>
    <row r="44" spans="1:14" ht="12.75" customHeight="1" x14ac:dyDescent="0.2">
      <c r="A44" s="128">
        <v>42</v>
      </c>
      <c r="B44" s="128"/>
      <c r="C44" s="17" t="s">
        <v>628</v>
      </c>
      <c r="D44" s="129">
        <v>45688</v>
      </c>
      <c r="E44" s="17" t="str">
        <f>VLOOKUP(A44,Base[],2,0)</f>
        <v xml:space="preserve">3.3.90.39.00 – OUTROES SERVIÇOS DE TERCEIROS </v>
      </c>
      <c r="F44" s="17" t="str">
        <f>VLOOKUP(A44,Base!B:D,3,0)</f>
        <v>Contratação por Edital de Chamamento nº 01/2024</v>
      </c>
      <c r="G44" s="23">
        <f>VLOOKUP(A44,Base!B:H,4,0)</f>
        <v>0</v>
      </c>
      <c r="H44" s="54" t="s">
        <v>76</v>
      </c>
      <c r="I44" s="35"/>
      <c r="J44" s="51" t="str">
        <f>VLOOKUP(ExtratoBanco8[[#This Row],[Nº]],Base!B:H,7,0)</f>
        <v xml:space="preserve">APRESENTAÇÃO PALCOS SUNSET - VERÃO MAIOR PARANÁ </v>
      </c>
      <c r="K44" s="19"/>
      <c r="L44" s="130">
        <v>24800</v>
      </c>
      <c r="M44" s="20">
        <f>M43+ExtratoBanco8[[#This Row],[CRÉDITO]]-ExtratoBanco8[[#This Row],[DÉBITO]]</f>
        <v>5994911.2500000009</v>
      </c>
      <c r="N44" s="132">
        <v>22</v>
      </c>
    </row>
    <row r="45" spans="1:14" ht="12.75" customHeight="1" x14ac:dyDescent="0.2">
      <c r="A45" s="128">
        <v>42</v>
      </c>
      <c r="B45" s="128"/>
      <c r="C45" s="17" t="s">
        <v>628</v>
      </c>
      <c r="D45" s="129">
        <v>45688</v>
      </c>
      <c r="E45" s="17" t="str">
        <f>VLOOKUP(A45,Base[],2,0)</f>
        <v xml:space="preserve">3.3.90.39.00 – OUTROES SERVIÇOS DE TERCEIROS </v>
      </c>
      <c r="F45" s="17" t="str">
        <f>VLOOKUP(A45,Base!B:D,3,0)</f>
        <v>Contratação por Edital de Chamamento nº 01/2024</v>
      </c>
      <c r="G45" s="23">
        <f>VLOOKUP(A45,Base!B:H,4,0)</f>
        <v>0</v>
      </c>
      <c r="H45" s="54" t="s">
        <v>76</v>
      </c>
      <c r="I45" s="35"/>
      <c r="J45" s="51" t="str">
        <f>VLOOKUP(ExtratoBanco8[[#This Row],[Nº]],Base!B:H,7,0)</f>
        <v xml:space="preserve">APRESENTAÇÃO PALCOS SUNSET - VERÃO MAIOR PARANÁ </v>
      </c>
      <c r="K45" s="19"/>
      <c r="L45" s="130">
        <v>16000</v>
      </c>
      <c r="M45" s="20">
        <f>M44+ExtratoBanco8[[#This Row],[CRÉDITO]]-ExtratoBanco8[[#This Row],[DÉBITO]]</f>
        <v>5978911.2500000009</v>
      </c>
      <c r="N45" s="132">
        <v>23</v>
      </c>
    </row>
    <row r="46" spans="1:14" ht="12.75" customHeight="1" x14ac:dyDescent="0.2">
      <c r="A46" s="128">
        <v>42</v>
      </c>
      <c r="B46" s="128"/>
      <c r="C46" s="17" t="s">
        <v>628</v>
      </c>
      <c r="D46" s="129">
        <v>45688</v>
      </c>
      <c r="E46" s="17" t="str">
        <f>VLOOKUP(A46,Base[],2,0)</f>
        <v xml:space="preserve">3.3.90.39.00 – OUTROES SERVIÇOS DE TERCEIROS </v>
      </c>
      <c r="F46" s="17" t="str">
        <f>VLOOKUP(A46,Base!B:D,3,0)</f>
        <v>Contratação por Edital de Chamamento nº 01/2024</v>
      </c>
      <c r="G46" s="23">
        <f>VLOOKUP(A46,Base!B:H,4,0)</f>
        <v>0</v>
      </c>
      <c r="H46" s="54" t="s">
        <v>76</v>
      </c>
      <c r="I46" s="35"/>
      <c r="J46" s="51" t="str">
        <f>VLOOKUP(ExtratoBanco8[[#This Row],[Nº]],Base!B:H,7,0)</f>
        <v xml:space="preserve">APRESENTAÇÃO PALCOS SUNSET - VERÃO MAIOR PARANÁ </v>
      </c>
      <c r="K46" s="19"/>
      <c r="L46" s="130">
        <v>12000</v>
      </c>
      <c r="M46" s="20">
        <f>M45+ExtratoBanco8[[#This Row],[CRÉDITO]]-ExtratoBanco8[[#This Row],[DÉBITO]]</f>
        <v>5966911.2500000009</v>
      </c>
      <c r="N46" s="132">
        <v>24</v>
      </c>
    </row>
    <row r="47" spans="1:14" ht="12.75" customHeight="1" x14ac:dyDescent="0.2">
      <c r="A47" s="128">
        <v>55</v>
      </c>
      <c r="B47" s="128"/>
      <c r="C47" s="17" t="s">
        <v>628</v>
      </c>
      <c r="D47" s="129">
        <v>45688</v>
      </c>
      <c r="E47" s="17" t="str">
        <f>VLOOKUP(A47,Base[],2,0)</f>
        <v xml:space="preserve">3.3.90.39.23 – FESTIVAIS E HOMENAGENS </v>
      </c>
      <c r="F47" s="17" t="s">
        <v>645</v>
      </c>
      <c r="G47" s="23" t="s">
        <v>646</v>
      </c>
      <c r="H47" s="54" t="s">
        <v>76</v>
      </c>
      <c r="I47" s="35">
        <v>1615</v>
      </c>
      <c r="J47" s="51" t="s">
        <v>647</v>
      </c>
      <c r="K47" s="19"/>
      <c r="L47" s="130">
        <v>1086201.27</v>
      </c>
      <c r="M47" s="20">
        <f>M46+ExtratoBanco8[[#This Row],[CRÉDITO]]-ExtratoBanco8[[#This Row],[DÉBITO]]</f>
        <v>4880709.9800000004</v>
      </c>
      <c r="N47" s="132">
        <v>25</v>
      </c>
    </row>
    <row r="48" spans="1:14" ht="12.75" customHeight="1" x14ac:dyDescent="0.25">
      <c r="A48" s="128">
        <v>14</v>
      </c>
      <c r="B48" s="128"/>
      <c r="C48" s="17" t="s">
        <v>628</v>
      </c>
      <c r="D48" s="129">
        <v>45688</v>
      </c>
      <c r="E48" s="17" t="str">
        <f>VLOOKUP(A48,Base[],2,0)</f>
        <v>3.3.90.39.39 - ENCARGOS FINANCEIROS INDEDUTÍVEIS</v>
      </c>
      <c r="F48" s="17" t="str">
        <f>VLOOKUP(A48,Base!B:D,3,0)</f>
        <v>BANCO DO BRASIL</v>
      </c>
      <c r="G48" s="23">
        <f>VLOOKUP(A48,Base!B:H,4,0)</f>
        <v>191</v>
      </c>
      <c r="H48" s="51" t="str">
        <f>VLOOKUP($A48,Base[],5,0)</f>
        <v>AVISO DE DÉBITO</v>
      </c>
      <c r="I48" s="35"/>
      <c r="J48" s="51" t="str">
        <f>VLOOKUP(ExtratoBanco8[[#This Row],[Nº]],Base!B:H,7,0)</f>
        <v>TARIFA BANCÁRIA</v>
      </c>
      <c r="K48" s="19"/>
      <c r="L48" s="130">
        <v>12.3</v>
      </c>
      <c r="M48" s="20">
        <f>M47+ExtratoBanco8[[#This Row],[CRÉDITO]]-ExtratoBanco8[[#This Row],[DÉBITO]]</f>
        <v>4880697.6800000006</v>
      </c>
      <c r="N48" s="132"/>
    </row>
    <row r="49" spans="1:14" ht="12.75" customHeight="1" x14ac:dyDescent="0.25">
      <c r="A49" s="128">
        <v>14</v>
      </c>
      <c r="B49" s="128"/>
      <c r="C49" s="17" t="s">
        <v>628</v>
      </c>
      <c r="D49" s="129">
        <v>45688</v>
      </c>
      <c r="E49" s="17" t="str">
        <f>VLOOKUP(A49,Base[],2,0)</f>
        <v>3.3.90.39.39 - ENCARGOS FINANCEIROS INDEDUTÍVEIS</v>
      </c>
      <c r="F49" s="17" t="str">
        <f>VLOOKUP(A49,Base!B:D,3,0)</f>
        <v>BANCO DO BRASIL</v>
      </c>
      <c r="G49" s="23">
        <f>VLOOKUP(A49,Base!B:H,4,0)</f>
        <v>191</v>
      </c>
      <c r="H49" s="51" t="str">
        <f>VLOOKUP($A49,Base[],5,0)</f>
        <v>AVISO DE DÉBITO</v>
      </c>
      <c r="I49" s="35"/>
      <c r="J49" s="51" t="str">
        <f>VLOOKUP(ExtratoBanco8[[#This Row],[Nº]],Base!B:H,7,0)</f>
        <v>TARIFA BANCÁRIA</v>
      </c>
      <c r="K49" s="19"/>
      <c r="L49" s="130">
        <v>12.3</v>
      </c>
      <c r="M49" s="20">
        <f>M48+ExtratoBanco8[[#This Row],[CRÉDITO]]-ExtratoBanco8[[#This Row],[DÉBITO]]</f>
        <v>4880685.3800000008</v>
      </c>
      <c r="N49" s="132"/>
    </row>
    <row r="50" spans="1:14" ht="12.75" customHeight="1" x14ac:dyDescent="0.25">
      <c r="A50" s="128">
        <v>14</v>
      </c>
      <c r="B50" s="128"/>
      <c r="C50" s="17" t="s">
        <v>628</v>
      </c>
      <c r="D50" s="129">
        <v>45688</v>
      </c>
      <c r="E50" s="17" t="str">
        <f>VLOOKUP(A50,Base[],2,0)</f>
        <v>3.3.90.39.39 - ENCARGOS FINANCEIROS INDEDUTÍVEIS</v>
      </c>
      <c r="F50" s="17" t="str">
        <f>VLOOKUP(A50,Base!B:D,3,0)</f>
        <v>BANCO DO BRASIL</v>
      </c>
      <c r="G50" s="23">
        <f>VLOOKUP(A50,Base!B:H,4,0)</f>
        <v>191</v>
      </c>
      <c r="H50" s="51" t="str">
        <f>VLOOKUP($A50,Base[],5,0)</f>
        <v>AVISO DE DÉBITO</v>
      </c>
      <c r="I50" s="35"/>
      <c r="J50" s="51" t="str">
        <f>VLOOKUP(ExtratoBanco8[[#This Row],[Nº]],Base!B:H,7,0)</f>
        <v>TARIFA BANCÁRIA</v>
      </c>
      <c r="K50" s="19"/>
      <c r="L50" s="130">
        <v>12.3</v>
      </c>
      <c r="M50" s="20">
        <f>M49+ExtratoBanco8[[#This Row],[CRÉDITO]]-ExtratoBanco8[[#This Row],[DÉBITO]]</f>
        <v>4880673.080000001</v>
      </c>
      <c r="N50" s="132"/>
    </row>
    <row r="51" spans="1:14" ht="12.75" customHeight="1" x14ac:dyDescent="0.25">
      <c r="A51" s="128">
        <v>14</v>
      </c>
      <c r="B51" s="128"/>
      <c r="C51" s="17" t="s">
        <v>628</v>
      </c>
      <c r="D51" s="129">
        <v>45688</v>
      </c>
      <c r="E51" s="17" t="str">
        <f>VLOOKUP(A51,Base[],2,0)</f>
        <v>3.3.90.39.39 - ENCARGOS FINANCEIROS INDEDUTÍVEIS</v>
      </c>
      <c r="F51" s="17" t="str">
        <f>VLOOKUP(A51,Base!B:D,3,0)</f>
        <v>BANCO DO BRASIL</v>
      </c>
      <c r="G51" s="23">
        <f>VLOOKUP(A51,Base!B:H,4,0)</f>
        <v>191</v>
      </c>
      <c r="H51" s="51" t="str">
        <f>VLOOKUP($A51,Base[],5,0)</f>
        <v>AVISO DE DÉBITO</v>
      </c>
      <c r="I51" s="35"/>
      <c r="J51" s="51" t="str">
        <f>VLOOKUP(ExtratoBanco8[[#This Row],[Nº]],Base!B:H,7,0)</f>
        <v>TARIFA BANCÁRIA</v>
      </c>
      <c r="K51" s="19"/>
      <c r="L51" s="130">
        <v>12.3</v>
      </c>
      <c r="M51" s="20">
        <f>M50+ExtratoBanco8[[#This Row],[CRÉDITO]]-ExtratoBanco8[[#This Row],[DÉBITO]]</f>
        <v>4880660.7800000012</v>
      </c>
      <c r="N51" s="132"/>
    </row>
    <row r="52" spans="1:14" ht="12.75" customHeight="1" x14ac:dyDescent="0.25">
      <c r="A52" s="128">
        <v>14</v>
      </c>
      <c r="B52" s="128"/>
      <c r="C52" s="17" t="s">
        <v>628</v>
      </c>
      <c r="D52" s="129">
        <v>45688</v>
      </c>
      <c r="E52" s="17" t="str">
        <f>VLOOKUP(A52,Base[],2,0)</f>
        <v>3.3.90.39.39 - ENCARGOS FINANCEIROS INDEDUTÍVEIS</v>
      </c>
      <c r="F52" s="17" t="str">
        <f>VLOOKUP(A52,Base!B:D,3,0)</f>
        <v>BANCO DO BRASIL</v>
      </c>
      <c r="G52" s="23">
        <f>VLOOKUP(A52,Base!B:H,4,0)</f>
        <v>191</v>
      </c>
      <c r="H52" s="51" t="str">
        <f>VLOOKUP($A52,Base[],5,0)</f>
        <v>AVISO DE DÉBITO</v>
      </c>
      <c r="I52" s="35"/>
      <c r="J52" s="51" t="str">
        <f>VLOOKUP(ExtratoBanco8[[#This Row],[Nº]],Base!B:H,7,0)</f>
        <v>TARIFA BANCÁRIA</v>
      </c>
      <c r="K52" s="19"/>
      <c r="L52" s="130">
        <v>12.3</v>
      </c>
      <c r="M52" s="20">
        <f>M51+ExtratoBanco8[[#This Row],[CRÉDITO]]-ExtratoBanco8[[#This Row],[DÉBITO]]</f>
        <v>4880648.4800000014</v>
      </c>
      <c r="N52" s="132"/>
    </row>
    <row r="53" spans="1:14" ht="12.75" customHeight="1" x14ac:dyDescent="0.25">
      <c r="A53" s="128">
        <v>14</v>
      </c>
      <c r="B53" s="128"/>
      <c r="C53" s="17" t="s">
        <v>628</v>
      </c>
      <c r="D53" s="129">
        <v>45688</v>
      </c>
      <c r="E53" s="17" t="str">
        <f>VLOOKUP(A53,Base[],2,0)</f>
        <v>3.3.90.39.39 - ENCARGOS FINANCEIROS INDEDUTÍVEIS</v>
      </c>
      <c r="F53" s="17" t="str">
        <f>VLOOKUP(A53,Base!B:D,3,0)</f>
        <v>BANCO DO BRASIL</v>
      </c>
      <c r="G53" s="23">
        <f>VLOOKUP(A53,Base!B:H,4,0)</f>
        <v>191</v>
      </c>
      <c r="H53" s="51" t="str">
        <f>VLOOKUP($A53,Base[],5,0)</f>
        <v>AVISO DE DÉBITO</v>
      </c>
      <c r="I53" s="35"/>
      <c r="J53" s="51" t="str">
        <f>VLOOKUP(ExtratoBanco8[[#This Row],[Nº]],Base!B:H,7,0)</f>
        <v>TARIFA BANCÁRIA</v>
      </c>
      <c r="K53" s="19"/>
      <c r="L53" s="130">
        <v>12.3</v>
      </c>
      <c r="M53" s="20">
        <f>M52+ExtratoBanco8[[#This Row],[CRÉDITO]]-ExtratoBanco8[[#This Row],[DÉBITO]]</f>
        <v>4880636.1800000016</v>
      </c>
      <c r="N53" s="132"/>
    </row>
    <row r="54" spans="1:14" ht="12.75" customHeight="1" x14ac:dyDescent="0.25">
      <c r="A54" s="128">
        <v>14</v>
      </c>
      <c r="B54" s="128"/>
      <c r="C54" s="17" t="s">
        <v>628</v>
      </c>
      <c r="D54" s="129">
        <v>45688</v>
      </c>
      <c r="E54" s="17" t="str">
        <f>VLOOKUP(A54,Base[],2,0)</f>
        <v>3.3.90.39.39 - ENCARGOS FINANCEIROS INDEDUTÍVEIS</v>
      </c>
      <c r="F54" s="17" t="str">
        <f>VLOOKUP(A54,Base!B:D,3,0)</f>
        <v>BANCO DO BRASIL</v>
      </c>
      <c r="G54" s="23">
        <f>VLOOKUP(A54,Base!B:H,4,0)</f>
        <v>191</v>
      </c>
      <c r="H54" s="51" t="str">
        <f>VLOOKUP($A54,Base[],5,0)</f>
        <v>AVISO DE DÉBITO</v>
      </c>
      <c r="I54" s="35"/>
      <c r="J54" s="51" t="str">
        <f>VLOOKUP(ExtratoBanco8[[#This Row],[Nº]],Base!B:H,7,0)</f>
        <v>TARIFA BANCÁRIA</v>
      </c>
      <c r="K54" s="19"/>
      <c r="L54" s="130">
        <v>12.3</v>
      </c>
      <c r="M54" s="20">
        <f>M53+ExtratoBanco8[[#This Row],[CRÉDITO]]-ExtratoBanco8[[#This Row],[DÉBITO]]</f>
        <v>4880623.8800000018</v>
      </c>
      <c r="N54" s="132"/>
    </row>
    <row r="55" spans="1:14" ht="12.75" customHeight="1" x14ac:dyDescent="0.25">
      <c r="A55" s="128">
        <v>14</v>
      </c>
      <c r="B55" s="128"/>
      <c r="C55" s="17" t="s">
        <v>628</v>
      </c>
      <c r="D55" s="129">
        <v>45688</v>
      </c>
      <c r="E55" s="17" t="str">
        <f>VLOOKUP(A55,Base[],2,0)</f>
        <v>3.3.90.39.39 - ENCARGOS FINANCEIROS INDEDUTÍVEIS</v>
      </c>
      <c r="F55" s="17" t="str">
        <f>VLOOKUP(A55,Base!B:D,3,0)</f>
        <v>BANCO DO BRASIL</v>
      </c>
      <c r="G55" s="23">
        <f>VLOOKUP(A55,Base!B:H,4,0)</f>
        <v>191</v>
      </c>
      <c r="H55" s="51" t="str">
        <f>VLOOKUP($A55,Base[],5,0)</f>
        <v>AVISO DE DÉBITO</v>
      </c>
      <c r="I55" s="35"/>
      <c r="J55" s="51" t="str">
        <f>VLOOKUP(ExtratoBanco8[[#This Row],[Nº]],Base!B:H,7,0)</f>
        <v>TARIFA BANCÁRIA</v>
      </c>
      <c r="K55" s="19"/>
      <c r="L55" s="130">
        <v>10</v>
      </c>
      <c r="M55" s="20">
        <f>M54+ExtratoBanco8[[#This Row],[CRÉDITO]]-ExtratoBanco8[[#This Row],[DÉBITO]]</f>
        <v>4880613.8800000018</v>
      </c>
      <c r="N55" s="132"/>
    </row>
    <row r="56" spans="1:14" ht="12.75" customHeight="1" x14ac:dyDescent="0.25">
      <c r="A56" s="128">
        <v>14</v>
      </c>
      <c r="B56" s="128"/>
      <c r="C56" s="17" t="s">
        <v>628</v>
      </c>
      <c r="D56" s="129"/>
      <c r="E56" s="17" t="str">
        <f>VLOOKUP(A56,Base[],2,0)</f>
        <v>3.3.90.39.39 - ENCARGOS FINANCEIROS INDEDUTÍVEIS</v>
      </c>
      <c r="F56" s="17" t="str">
        <f>VLOOKUP(A56,Base!B:D,3,0)</f>
        <v>BANCO DO BRASIL</v>
      </c>
      <c r="G56" s="23">
        <f>VLOOKUP(A56,Base!B:H,4,0)</f>
        <v>191</v>
      </c>
      <c r="H56" s="51" t="str">
        <f>VLOOKUP($A56,Base[],5,0)</f>
        <v>AVISO DE DÉBITO</v>
      </c>
      <c r="I56" s="35"/>
      <c r="J56" s="51" t="str">
        <f>VLOOKUP(ExtratoBanco8[[#This Row],[Nº]],Base!B:H,7,0)</f>
        <v>TARIFA BANCÁRIA</v>
      </c>
      <c r="K56" s="19"/>
      <c r="L56" s="130">
        <v>67</v>
      </c>
      <c r="M56" s="20">
        <f>M55+ExtratoBanco8[[#This Row],[CRÉDITO]]-ExtratoBanco8[[#This Row],[DÉBITO]]</f>
        <v>4880546.8800000018</v>
      </c>
      <c r="N56" s="132"/>
    </row>
    <row r="57" spans="1:14" ht="12.75" customHeight="1" x14ac:dyDescent="0.25">
      <c r="A57" s="128">
        <v>42</v>
      </c>
      <c r="B57" s="128"/>
      <c r="C57" s="17" t="s">
        <v>628</v>
      </c>
      <c r="D57" s="129"/>
      <c r="E57" s="17" t="str">
        <f>VLOOKUP(A57,Base[],2,0)</f>
        <v xml:space="preserve">3.3.90.39.00 – OUTROES SERVIÇOS DE TERCEIROS </v>
      </c>
      <c r="F57" s="17" t="str">
        <f>VLOOKUP(A57,Base!B:D,3,0)</f>
        <v>Contratação por Edital de Chamamento nº 01/2024</v>
      </c>
      <c r="G57" s="23">
        <f>VLOOKUP(A57,Base!B:H,4,0)</f>
        <v>0</v>
      </c>
      <c r="H57" s="51" t="str">
        <f>VLOOKUP($A57,Base[],5,0)</f>
        <v>NFS-e/RPA</v>
      </c>
      <c r="I57" s="35"/>
      <c r="J57" s="51" t="str">
        <f>VLOOKUP(ExtratoBanco8[[#This Row],[Nº]],Base!B:H,7,0)</f>
        <v xml:space="preserve">APRESENTAÇÃO PALCOS SUNSET - VERÃO MAIOR PARANÁ </v>
      </c>
      <c r="K57" s="19"/>
      <c r="L57" s="130">
        <v>8000</v>
      </c>
      <c r="M57" s="20">
        <f>M56+ExtratoBanco8[[#This Row],[CRÉDITO]]-ExtratoBanco8[[#This Row],[DÉBITO]]</f>
        <v>4872546.8800000018</v>
      </c>
      <c r="N57" s="132"/>
    </row>
    <row r="58" spans="1:14" ht="12.75" customHeight="1" x14ac:dyDescent="0.25">
      <c r="A58" s="128">
        <v>42</v>
      </c>
      <c r="B58" s="128"/>
      <c r="C58" s="17" t="s">
        <v>628</v>
      </c>
      <c r="D58" s="129"/>
      <c r="E58" s="17" t="str">
        <f>VLOOKUP(A58,Base[],2,0)</f>
        <v xml:space="preserve">3.3.90.39.00 – OUTROES SERVIÇOS DE TERCEIROS </v>
      </c>
      <c r="F58" s="17" t="str">
        <f>VLOOKUP(A58,Base!B:D,3,0)</f>
        <v>Contratação por Edital de Chamamento nº 01/2024</v>
      </c>
      <c r="G58" s="23">
        <f>VLOOKUP(A58,Base!B:H,4,0)</f>
        <v>0</v>
      </c>
      <c r="H58" s="51" t="str">
        <f>VLOOKUP($A58,Base[],5,0)</f>
        <v>NFS-e/RPA</v>
      </c>
      <c r="I58" s="35"/>
      <c r="J58" s="51" t="str">
        <f>VLOOKUP(ExtratoBanco8[[#This Row],[Nº]],Base!B:H,7,0)</f>
        <v xml:space="preserve">APRESENTAÇÃO PALCOS SUNSET - VERÃO MAIOR PARANÁ </v>
      </c>
      <c r="K58" s="19"/>
      <c r="L58" s="130">
        <v>8000</v>
      </c>
      <c r="M58" s="20">
        <f>M57+ExtratoBanco8[[#This Row],[CRÉDITO]]-ExtratoBanco8[[#This Row],[DÉBITO]]</f>
        <v>4864546.8800000018</v>
      </c>
      <c r="N58" s="132"/>
    </row>
    <row r="59" spans="1:14" ht="12.75" customHeight="1" x14ac:dyDescent="0.25">
      <c r="A59" s="128">
        <v>42</v>
      </c>
      <c r="B59" s="128"/>
      <c r="C59" s="17" t="s">
        <v>628</v>
      </c>
      <c r="D59" s="129"/>
      <c r="E59" s="17" t="str">
        <f>VLOOKUP(A59,Base[],2,0)</f>
        <v xml:space="preserve">3.3.90.39.00 – OUTROES SERVIÇOS DE TERCEIROS </v>
      </c>
      <c r="F59" s="17" t="str">
        <f>VLOOKUP(A59,Base!B:D,3,0)</f>
        <v>Contratação por Edital de Chamamento nº 01/2024</v>
      </c>
      <c r="G59" s="23">
        <f>VLOOKUP(A59,Base!B:H,4,0)</f>
        <v>0</v>
      </c>
      <c r="H59" s="51" t="str">
        <f>VLOOKUP($A59,Base[],5,0)</f>
        <v>NFS-e/RPA</v>
      </c>
      <c r="I59" s="35"/>
      <c r="J59" s="51" t="str">
        <f>VLOOKUP(ExtratoBanco8[[#This Row],[Nº]],Base!B:H,7,0)</f>
        <v xml:space="preserve">APRESENTAÇÃO PALCOS SUNSET - VERÃO MAIOR PARANÁ </v>
      </c>
      <c r="K59" s="19"/>
      <c r="L59" s="130">
        <v>8000</v>
      </c>
      <c r="M59" s="20">
        <f>M58+ExtratoBanco8[[#This Row],[CRÉDITO]]-ExtratoBanco8[[#This Row],[DÉBITO]]</f>
        <v>4856546.8800000018</v>
      </c>
      <c r="N59" s="132"/>
    </row>
    <row r="60" spans="1:14" ht="12.75" customHeight="1" x14ac:dyDescent="0.25">
      <c r="A60" s="128">
        <v>42</v>
      </c>
      <c r="B60" s="128"/>
      <c r="C60" s="17" t="s">
        <v>628</v>
      </c>
      <c r="D60" s="129"/>
      <c r="E60" s="17" t="str">
        <f>VLOOKUP(A60,Base[],2,0)</f>
        <v xml:space="preserve">3.3.90.39.00 – OUTROES SERVIÇOS DE TERCEIROS </v>
      </c>
      <c r="F60" s="17" t="str">
        <f>VLOOKUP(A60,Base!B:D,3,0)</f>
        <v>Contratação por Edital de Chamamento nº 01/2024</v>
      </c>
      <c r="G60" s="23">
        <f>VLOOKUP(A60,Base!B:H,4,0)</f>
        <v>0</v>
      </c>
      <c r="H60" s="51" t="str">
        <f>VLOOKUP($A60,Base[],5,0)</f>
        <v>NFS-e/RPA</v>
      </c>
      <c r="I60" s="35"/>
      <c r="J60" s="51" t="str">
        <f>VLOOKUP(ExtratoBanco8[[#This Row],[Nº]],Base!B:H,7,0)</f>
        <v xml:space="preserve">APRESENTAÇÃO PALCOS SUNSET - VERÃO MAIOR PARANÁ </v>
      </c>
      <c r="K60" s="19"/>
      <c r="L60" s="130">
        <v>6000</v>
      </c>
      <c r="M60" s="20">
        <f>M59+ExtratoBanco8[[#This Row],[CRÉDITO]]-ExtratoBanco8[[#This Row],[DÉBITO]]</f>
        <v>4850546.8800000018</v>
      </c>
      <c r="N60" s="132"/>
    </row>
    <row r="61" spans="1:14" ht="12.75" customHeight="1" x14ac:dyDescent="0.25">
      <c r="A61" s="128">
        <v>42</v>
      </c>
      <c r="B61" s="128"/>
      <c r="C61" s="17" t="s">
        <v>628</v>
      </c>
      <c r="D61" s="129"/>
      <c r="E61" s="17" t="str">
        <f>VLOOKUP(A61,Base[],2,0)</f>
        <v xml:space="preserve">3.3.90.39.00 – OUTROES SERVIÇOS DE TERCEIROS </v>
      </c>
      <c r="F61" s="17" t="str">
        <f>VLOOKUP(A61,Base!B:D,3,0)</f>
        <v>Contratação por Edital de Chamamento nº 01/2024</v>
      </c>
      <c r="G61" s="23">
        <f>VLOOKUP(A61,Base!B:H,4,0)</f>
        <v>0</v>
      </c>
      <c r="H61" s="51" t="str">
        <f>VLOOKUP($A61,Base[],5,0)</f>
        <v>NFS-e/RPA</v>
      </c>
      <c r="I61" s="35"/>
      <c r="J61" s="51" t="str">
        <f>VLOOKUP(ExtratoBanco8[[#This Row],[Nº]],Base!B:H,7,0)</f>
        <v xml:space="preserve">APRESENTAÇÃO PALCOS SUNSET - VERÃO MAIOR PARANÁ </v>
      </c>
      <c r="K61" s="19"/>
      <c r="L61" s="130">
        <v>8000</v>
      </c>
      <c r="M61" s="20">
        <f>M60+ExtratoBanco8[[#This Row],[CRÉDITO]]-ExtratoBanco8[[#This Row],[DÉBITO]]</f>
        <v>4842546.8800000018</v>
      </c>
      <c r="N61" s="132"/>
    </row>
    <row r="62" spans="1:14" ht="12.75" customHeight="1" x14ac:dyDescent="0.25">
      <c r="A62" s="128">
        <v>42</v>
      </c>
      <c r="B62" s="128"/>
      <c r="C62" s="17" t="s">
        <v>628</v>
      </c>
      <c r="D62" s="129"/>
      <c r="E62" s="17" t="str">
        <f>VLOOKUP(A62,Base[],2,0)</f>
        <v xml:space="preserve">3.3.90.39.00 – OUTROES SERVIÇOS DE TERCEIROS </v>
      </c>
      <c r="F62" s="17" t="str">
        <f>VLOOKUP(A62,Base!B:D,3,0)</f>
        <v>Contratação por Edital de Chamamento nº 01/2024</v>
      </c>
      <c r="G62" s="23">
        <f>VLOOKUP(A62,Base!B:H,4,0)</f>
        <v>0</v>
      </c>
      <c r="H62" s="51" t="str">
        <f>VLOOKUP($A62,Base[],5,0)</f>
        <v>NFS-e/RPA</v>
      </c>
      <c r="I62" s="35"/>
      <c r="J62" s="51" t="str">
        <f>VLOOKUP(ExtratoBanco8[[#This Row],[Nº]],Base!B:H,7,0)</f>
        <v xml:space="preserve">APRESENTAÇÃO PALCOS SUNSET - VERÃO MAIOR PARANÁ </v>
      </c>
      <c r="K62" s="19"/>
      <c r="L62" s="130">
        <v>8000</v>
      </c>
      <c r="M62" s="20">
        <f>M61+ExtratoBanco8[[#This Row],[CRÉDITO]]-ExtratoBanco8[[#This Row],[DÉBITO]]</f>
        <v>4834546.8800000018</v>
      </c>
      <c r="N62" s="132"/>
    </row>
    <row r="63" spans="1:14" ht="12.75" customHeight="1" x14ac:dyDescent="0.25">
      <c r="A63" s="128">
        <v>42</v>
      </c>
      <c r="B63" s="128"/>
      <c r="C63" s="17" t="s">
        <v>628</v>
      </c>
      <c r="D63" s="129"/>
      <c r="E63" s="17" t="str">
        <f>VLOOKUP(A63,Base[],2,0)</f>
        <v xml:space="preserve">3.3.90.39.00 – OUTROES SERVIÇOS DE TERCEIROS </v>
      </c>
      <c r="F63" s="17" t="str">
        <f>VLOOKUP(A63,Base!B:D,3,0)</f>
        <v>Contratação por Edital de Chamamento nº 01/2024</v>
      </c>
      <c r="G63" s="23">
        <f>VLOOKUP(A63,Base!B:H,4,0)</f>
        <v>0</v>
      </c>
      <c r="H63" s="51" t="str">
        <f>VLOOKUP($A63,Base[],5,0)</f>
        <v>NFS-e/RPA</v>
      </c>
      <c r="I63" s="35"/>
      <c r="J63" s="51" t="str">
        <f>VLOOKUP(ExtratoBanco8[[#This Row],[Nº]],Base!B:H,7,0)</f>
        <v xml:space="preserve">APRESENTAÇÃO PALCOS SUNSET - VERÃO MAIOR PARANÁ </v>
      </c>
      <c r="K63" s="19"/>
      <c r="L63" s="130">
        <v>6000</v>
      </c>
      <c r="M63" s="20">
        <f>M62+ExtratoBanco8[[#This Row],[CRÉDITO]]-ExtratoBanco8[[#This Row],[DÉBITO]]</f>
        <v>4828546.8800000018</v>
      </c>
      <c r="N63" s="132"/>
    </row>
    <row r="64" spans="1:14" ht="12.75" customHeight="1" x14ac:dyDescent="0.25">
      <c r="A64" s="128">
        <v>14</v>
      </c>
      <c r="B64" s="128"/>
      <c r="C64" s="17" t="s">
        <v>628</v>
      </c>
      <c r="D64" s="129"/>
      <c r="E64" s="17" t="str">
        <f>VLOOKUP(A64,Base[],2,0)</f>
        <v>3.3.90.39.39 - ENCARGOS FINANCEIROS INDEDUTÍVEIS</v>
      </c>
      <c r="F64" s="17" t="str">
        <f>VLOOKUP(A64,Base!B:D,3,0)</f>
        <v>BANCO DO BRASIL</v>
      </c>
      <c r="G64" s="23">
        <f>VLOOKUP(A64,Base!B:H,4,0)</f>
        <v>191</v>
      </c>
      <c r="H64" s="51" t="str">
        <f>VLOOKUP($A64,Base[],5,0)</f>
        <v>AVISO DE DÉBITO</v>
      </c>
      <c r="I64" s="35"/>
      <c r="J64" s="51" t="str">
        <f>VLOOKUP(ExtratoBanco8[[#This Row],[Nº]],Base!B:H,7,0)</f>
        <v>TARIFA BANCÁRIA</v>
      </c>
      <c r="K64" s="19"/>
      <c r="L64" s="130">
        <v>12.3</v>
      </c>
      <c r="M64" s="20">
        <f>M63+ExtratoBanco8[[#This Row],[CRÉDITO]]-ExtratoBanco8[[#This Row],[DÉBITO]]</f>
        <v>4828534.5800000019</v>
      </c>
      <c r="N64" s="132"/>
    </row>
    <row r="65" spans="1:14" ht="12.75" customHeight="1" x14ac:dyDescent="0.25">
      <c r="A65" s="128">
        <v>14</v>
      </c>
      <c r="B65" s="128"/>
      <c r="C65" s="17" t="s">
        <v>628</v>
      </c>
      <c r="D65" s="129"/>
      <c r="E65" s="17" t="str">
        <f>VLOOKUP(A65,Base[],2,0)</f>
        <v>3.3.90.39.39 - ENCARGOS FINANCEIROS INDEDUTÍVEIS</v>
      </c>
      <c r="F65" s="17" t="str">
        <f>VLOOKUP(A65,Base!B:D,3,0)</f>
        <v>BANCO DO BRASIL</v>
      </c>
      <c r="G65" s="23">
        <f>VLOOKUP(A65,Base!B:H,4,0)</f>
        <v>191</v>
      </c>
      <c r="H65" s="51" t="str">
        <f>VLOOKUP($A65,Base[],5,0)</f>
        <v>AVISO DE DÉBITO</v>
      </c>
      <c r="I65" s="35"/>
      <c r="J65" s="51" t="str">
        <f>VLOOKUP(ExtratoBanco8[[#This Row],[Nº]],Base!B:H,7,0)</f>
        <v>TARIFA BANCÁRIA</v>
      </c>
      <c r="K65" s="19"/>
      <c r="L65" s="130">
        <v>12.3</v>
      </c>
      <c r="M65" s="20">
        <f>M64+ExtratoBanco8[[#This Row],[CRÉDITO]]-ExtratoBanco8[[#This Row],[DÉBITO]]</f>
        <v>4828522.2800000021</v>
      </c>
      <c r="N65" s="132"/>
    </row>
    <row r="66" spans="1:14" ht="12.75" customHeight="1" x14ac:dyDescent="0.25">
      <c r="A66" s="128">
        <v>14</v>
      </c>
      <c r="B66" s="128"/>
      <c r="C66" s="17" t="s">
        <v>628</v>
      </c>
      <c r="D66" s="129"/>
      <c r="E66" s="17" t="str">
        <f>VLOOKUP(A66,Base[],2,0)</f>
        <v>3.3.90.39.39 - ENCARGOS FINANCEIROS INDEDUTÍVEIS</v>
      </c>
      <c r="F66" s="17" t="str">
        <f>VLOOKUP(A66,Base!B:D,3,0)</f>
        <v>BANCO DO BRASIL</v>
      </c>
      <c r="G66" s="23">
        <f>VLOOKUP(A66,Base!B:H,4,0)</f>
        <v>191</v>
      </c>
      <c r="H66" s="51" t="str">
        <f>VLOOKUP($A66,Base[],5,0)</f>
        <v>AVISO DE DÉBITO</v>
      </c>
      <c r="I66" s="35"/>
      <c r="J66" s="51" t="str">
        <f>VLOOKUP(ExtratoBanco8[[#This Row],[Nº]],Base!B:H,7,0)</f>
        <v>TARIFA BANCÁRIA</v>
      </c>
      <c r="K66" s="19"/>
      <c r="L66" s="130">
        <v>12.3</v>
      </c>
      <c r="M66" s="20">
        <f>M65+ExtratoBanco8[[#This Row],[CRÉDITO]]-ExtratoBanco8[[#This Row],[DÉBITO]]</f>
        <v>4828509.9800000023</v>
      </c>
      <c r="N66" s="132"/>
    </row>
    <row r="67" spans="1:14" ht="12.75" customHeight="1" x14ac:dyDescent="0.25">
      <c r="A67" s="128">
        <v>14</v>
      </c>
      <c r="B67" s="128"/>
      <c r="C67" s="17" t="s">
        <v>628</v>
      </c>
      <c r="D67" s="129"/>
      <c r="E67" s="17" t="str">
        <f>VLOOKUP(A67,Base[],2,0)</f>
        <v>3.3.90.39.39 - ENCARGOS FINANCEIROS INDEDUTÍVEIS</v>
      </c>
      <c r="F67" s="17" t="str">
        <f>VLOOKUP(A67,Base!B:D,3,0)</f>
        <v>BANCO DO BRASIL</v>
      </c>
      <c r="G67" s="23">
        <f>VLOOKUP(A67,Base!B:H,4,0)</f>
        <v>191</v>
      </c>
      <c r="H67" s="51" t="str">
        <f>VLOOKUP($A67,Base[],5,0)</f>
        <v>AVISO DE DÉBITO</v>
      </c>
      <c r="I67" s="35"/>
      <c r="J67" s="51" t="str">
        <f>VLOOKUP(ExtratoBanco8[[#This Row],[Nº]],Base!B:H,7,0)</f>
        <v>TARIFA BANCÁRIA</v>
      </c>
      <c r="K67" s="19"/>
      <c r="L67" s="130">
        <v>12.3</v>
      </c>
      <c r="M67" s="20">
        <f>M66+ExtratoBanco8[[#This Row],[CRÉDITO]]-ExtratoBanco8[[#This Row],[DÉBITO]]</f>
        <v>4828497.6800000025</v>
      </c>
      <c r="N67" s="132"/>
    </row>
    <row r="68" spans="1:14" ht="12.75" customHeight="1" x14ac:dyDescent="0.25">
      <c r="A68" s="128">
        <v>14</v>
      </c>
      <c r="B68" s="128"/>
      <c r="C68" s="17" t="s">
        <v>628</v>
      </c>
      <c r="D68" s="129"/>
      <c r="E68" s="17" t="str">
        <f>VLOOKUP(A68,Base[],2,0)</f>
        <v>3.3.90.39.39 - ENCARGOS FINANCEIROS INDEDUTÍVEIS</v>
      </c>
      <c r="F68" s="17" t="str">
        <f>VLOOKUP(A68,Base!B:D,3,0)</f>
        <v>BANCO DO BRASIL</v>
      </c>
      <c r="G68" s="23">
        <f>VLOOKUP(A68,Base!B:H,4,0)</f>
        <v>191</v>
      </c>
      <c r="H68" s="51" t="str">
        <f>VLOOKUP($A68,Base[],5,0)</f>
        <v>AVISO DE DÉBITO</v>
      </c>
      <c r="I68" s="35"/>
      <c r="J68" s="51" t="str">
        <f>VLOOKUP(ExtratoBanco8[[#This Row],[Nº]],Base!B:H,7,0)</f>
        <v>TARIFA BANCÁRIA</v>
      </c>
      <c r="K68" s="19"/>
      <c r="L68" s="130">
        <v>12.3</v>
      </c>
      <c r="M68" s="20">
        <f>M67+ExtratoBanco8[[#This Row],[CRÉDITO]]-ExtratoBanco8[[#This Row],[DÉBITO]]</f>
        <v>4828485.3800000027</v>
      </c>
      <c r="N68" s="132"/>
    </row>
    <row r="69" spans="1:14" ht="12.75" customHeight="1" x14ac:dyDescent="0.25">
      <c r="A69" s="128">
        <v>14</v>
      </c>
      <c r="B69" s="128"/>
      <c r="C69" s="17" t="s">
        <v>628</v>
      </c>
      <c r="D69" s="129"/>
      <c r="E69" s="17" t="str">
        <f>VLOOKUP(A69,Base[],2,0)</f>
        <v>3.3.90.39.39 - ENCARGOS FINANCEIROS INDEDUTÍVEIS</v>
      </c>
      <c r="F69" s="17" t="str">
        <f>VLOOKUP(A69,Base!B:D,3,0)</f>
        <v>BANCO DO BRASIL</v>
      </c>
      <c r="G69" s="23">
        <f>VLOOKUP(A69,Base!B:H,4,0)</f>
        <v>191</v>
      </c>
      <c r="H69" s="51" t="str">
        <f>VLOOKUP($A69,Base[],5,0)</f>
        <v>AVISO DE DÉBITO</v>
      </c>
      <c r="I69" s="35"/>
      <c r="J69" s="51" t="str">
        <f>VLOOKUP(ExtratoBanco8[[#This Row],[Nº]],Base!B:H,7,0)</f>
        <v>TARIFA BANCÁRIA</v>
      </c>
      <c r="K69" s="19"/>
      <c r="L69" s="130">
        <v>12.3</v>
      </c>
      <c r="M69" s="20">
        <f>M68+ExtratoBanco8[[#This Row],[CRÉDITO]]-ExtratoBanco8[[#This Row],[DÉBITO]]</f>
        <v>4828473.0800000029</v>
      </c>
      <c r="N69" s="132"/>
    </row>
    <row r="70" spans="1:14" ht="12.75" customHeight="1" x14ac:dyDescent="0.25">
      <c r="A70" s="128">
        <v>14</v>
      </c>
      <c r="B70" s="128"/>
      <c r="C70" s="17" t="s">
        <v>628</v>
      </c>
      <c r="D70" s="129"/>
      <c r="E70" s="17" t="str">
        <f>VLOOKUP(A70,Base[],2,0)</f>
        <v>3.3.90.39.39 - ENCARGOS FINANCEIROS INDEDUTÍVEIS</v>
      </c>
      <c r="F70" s="17" t="str">
        <f>VLOOKUP(A70,Base!B:D,3,0)</f>
        <v>BANCO DO BRASIL</v>
      </c>
      <c r="G70" s="23">
        <f>VLOOKUP(A70,Base!B:H,4,0)</f>
        <v>191</v>
      </c>
      <c r="H70" s="51" t="str">
        <f>VLOOKUP($A70,Base[],5,0)</f>
        <v>AVISO DE DÉBITO</v>
      </c>
      <c r="I70" s="35"/>
      <c r="J70" s="51" t="str">
        <f>VLOOKUP(ExtratoBanco8[[#This Row],[Nº]],Base!B:H,7,0)</f>
        <v>TARIFA BANCÁRIA</v>
      </c>
      <c r="K70" s="19"/>
      <c r="L70" s="130">
        <v>12.3</v>
      </c>
      <c r="M70" s="20">
        <f>M69+ExtratoBanco8[[#This Row],[CRÉDITO]]-ExtratoBanco8[[#This Row],[DÉBITO]]</f>
        <v>4828460.7800000031</v>
      </c>
      <c r="N70" s="132"/>
    </row>
    <row r="71" spans="1:14" ht="12.75" customHeight="1" x14ac:dyDescent="0.25">
      <c r="A71" s="128">
        <v>14</v>
      </c>
      <c r="B71" s="128"/>
      <c r="C71" s="17" t="s">
        <v>628</v>
      </c>
      <c r="D71" s="129"/>
      <c r="E71" s="17" t="str">
        <f>VLOOKUP(A71,Base[],2,0)</f>
        <v>3.3.90.39.39 - ENCARGOS FINANCEIROS INDEDUTÍVEIS</v>
      </c>
      <c r="F71" s="17" t="str">
        <f>VLOOKUP(A71,Base!B:D,3,0)</f>
        <v>BANCO DO BRASIL</v>
      </c>
      <c r="G71" s="23">
        <f>VLOOKUP(A71,Base!B:H,4,0)</f>
        <v>191</v>
      </c>
      <c r="H71" s="51" t="str">
        <f>VLOOKUP($A71,Base[],5,0)</f>
        <v>AVISO DE DÉBITO</v>
      </c>
      <c r="I71" s="35"/>
      <c r="J71" s="51" t="str">
        <f>VLOOKUP(ExtratoBanco8[[#This Row],[Nº]],Base!B:H,7,0)</f>
        <v>TARIFA BANCÁRIA</v>
      </c>
      <c r="K71" s="19"/>
      <c r="L71" s="130">
        <v>12.3</v>
      </c>
      <c r="M71" s="20">
        <f>M70+ExtratoBanco8[[#This Row],[CRÉDITO]]-ExtratoBanco8[[#This Row],[DÉBITO]]</f>
        <v>4828448.4800000032</v>
      </c>
      <c r="N71" s="132"/>
    </row>
    <row r="72" spans="1:14" ht="12.75" customHeight="1" x14ac:dyDescent="0.25">
      <c r="A72" s="128">
        <v>14</v>
      </c>
      <c r="B72" s="128"/>
      <c r="C72" s="17" t="s">
        <v>628</v>
      </c>
      <c r="D72" s="129"/>
      <c r="E72" s="17" t="str">
        <f>VLOOKUP(A72,Base[],2,0)</f>
        <v>3.3.90.39.39 - ENCARGOS FINANCEIROS INDEDUTÍVEIS</v>
      </c>
      <c r="F72" s="17" t="str">
        <f>VLOOKUP(A72,Base!B:D,3,0)</f>
        <v>BANCO DO BRASIL</v>
      </c>
      <c r="G72" s="23">
        <f>VLOOKUP(A72,Base!B:H,4,0)</f>
        <v>191</v>
      </c>
      <c r="H72" s="51" t="str">
        <f>VLOOKUP($A72,Base[],5,0)</f>
        <v>AVISO DE DÉBITO</v>
      </c>
      <c r="I72" s="35"/>
      <c r="J72" s="51" t="str">
        <f>VLOOKUP(ExtratoBanco8[[#This Row],[Nº]],Base!B:H,7,0)</f>
        <v>TARIFA BANCÁRIA</v>
      </c>
      <c r="K72" s="19"/>
      <c r="L72" s="130">
        <v>12.3</v>
      </c>
      <c r="M72" s="20">
        <f>M71+ExtratoBanco8[[#This Row],[CRÉDITO]]-ExtratoBanco8[[#This Row],[DÉBITO]]</f>
        <v>4828436.1800000034</v>
      </c>
      <c r="N72" s="132"/>
    </row>
    <row r="73" spans="1:14" ht="12.75" customHeight="1" x14ac:dyDescent="0.25">
      <c r="A73" s="128">
        <v>14</v>
      </c>
      <c r="B73" s="128"/>
      <c r="C73" s="17" t="s">
        <v>628</v>
      </c>
      <c r="D73" s="129"/>
      <c r="E73" s="17" t="str">
        <f>VLOOKUP(A73,Base[],2,0)</f>
        <v>3.3.90.39.39 - ENCARGOS FINANCEIROS INDEDUTÍVEIS</v>
      </c>
      <c r="F73" s="17" t="str">
        <f>VLOOKUP(A73,Base!B:D,3,0)</f>
        <v>BANCO DO BRASIL</v>
      </c>
      <c r="G73" s="23">
        <f>VLOOKUP(A73,Base!B:H,4,0)</f>
        <v>191</v>
      </c>
      <c r="H73" s="51" t="str">
        <f>VLOOKUP($A73,Base[],5,0)</f>
        <v>AVISO DE DÉBITO</v>
      </c>
      <c r="I73" s="35"/>
      <c r="J73" s="51" t="str">
        <f>VLOOKUP(ExtratoBanco8[[#This Row],[Nº]],Base!B:H,7,0)</f>
        <v>TARIFA BANCÁRIA</v>
      </c>
      <c r="K73" s="19"/>
      <c r="L73" s="130">
        <v>12.3</v>
      </c>
      <c r="M73" s="20">
        <f>M72+ExtratoBanco8[[#This Row],[CRÉDITO]]-ExtratoBanco8[[#This Row],[DÉBITO]]</f>
        <v>4828423.8800000036</v>
      </c>
      <c r="N73" s="132"/>
    </row>
    <row r="74" spans="1:14" ht="12.75" customHeight="1" x14ac:dyDescent="0.25">
      <c r="A74" s="128">
        <v>14</v>
      </c>
      <c r="B74" s="128"/>
      <c r="C74" s="17" t="s">
        <v>628</v>
      </c>
      <c r="D74" s="129"/>
      <c r="E74" s="17" t="str">
        <f>VLOOKUP(A74,Base[],2,0)</f>
        <v>3.3.90.39.39 - ENCARGOS FINANCEIROS INDEDUTÍVEIS</v>
      </c>
      <c r="F74" s="17" t="str">
        <f>VLOOKUP(A74,Base!B:D,3,0)</f>
        <v>BANCO DO BRASIL</v>
      </c>
      <c r="G74" s="23">
        <f>VLOOKUP(A74,Base!B:H,4,0)</f>
        <v>191</v>
      </c>
      <c r="H74" s="51" t="str">
        <f>VLOOKUP($A74,Base[],5,0)</f>
        <v>AVISO DE DÉBITO</v>
      </c>
      <c r="I74" s="35"/>
      <c r="J74" s="51" t="str">
        <f>VLOOKUP(ExtratoBanco8[[#This Row],[Nº]],Base!B:H,7,0)</f>
        <v>TARIFA BANCÁRIA</v>
      </c>
      <c r="K74" s="19"/>
      <c r="L74" s="130">
        <v>12.3</v>
      </c>
      <c r="M74" s="20">
        <f>M73+ExtratoBanco8[[#This Row],[CRÉDITO]]-ExtratoBanco8[[#This Row],[DÉBITO]]</f>
        <v>4828411.5800000038</v>
      </c>
      <c r="N74" s="132"/>
    </row>
    <row r="75" spans="1:14" ht="12.75" customHeight="1" x14ac:dyDescent="0.25">
      <c r="A75" s="128">
        <v>42</v>
      </c>
      <c r="B75" s="128"/>
      <c r="C75" s="17" t="s">
        <v>628</v>
      </c>
      <c r="D75" s="129"/>
      <c r="E75" s="17" t="str">
        <f>VLOOKUP(A75,Base[],2,0)</f>
        <v xml:space="preserve">3.3.90.39.00 – OUTROES SERVIÇOS DE TERCEIROS </v>
      </c>
      <c r="F75" s="17" t="str">
        <f>VLOOKUP(A75,Base!B:D,3,0)</f>
        <v>Contratação por Edital de Chamamento nº 01/2024</v>
      </c>
      <c r="G75" s="23">
        <f>VLOOKUP(A75,Base!B:H,4,0)</f>
        <v>0</v>
      </c>
      <c r="H75" s="51" t="str">
        <f>VLOOKUP($A75,Base[],5,0)</f>
        <v>NFS-e/RPA</v>
      </c>
      <c r="I75" s="35"/>
      <c r="J75" s="51" t="str">
        <f>VLOOKUP(ExtratoBanco8[[#This Row],[Nº]],Base!B:H,7,0)</f>
        <v xml:space="preserve">APRESENTAÇÃO PALCOS SUNSET - VERÃO MAIOR PARANÁ </v>
      </c>
      <c r="K75" s="19"/>
      <c r="L75" s="130">
        <v>20000</v>
      </c>
      <c r="M75" s="20">
        <f>M74+ExtratoBanco8[[#This Row],[CRÉDITO]]-ExtratoBanco8[[#This Row],[DÉBITO]]</f>
        <v>4808411.5800000038</v>
      </c>
      <c r="N75" s="132"/>
    </row>
    <row r="76" spans="1:14" ht="12.75" customHeight="1" x14ac:dyDescent="0.25">
      <c r="A76" s="128">
        <v>42</v>
      </c>
      <c r="B76" s="128"/>
      <c r="C76" s="17" t="s">
        <v>628</v>
      </c>
      <c r="D76" s="129"/>
      <c r="E76" s="17" t="str">
        <f>VLOOKUP(A76,Base[],2,0)</f>
        <v xml:space="preserve">3.3.90.39.00 – OUTROES SERVIÇOS DE TERCEIROS </v>
      </c>
      <c r="F76" s="17" t="str">
        <f>VLOOKUP(A76,Base!B:D,3,0)</f>
        <v>Contratação por Edital de Chamamento nº 01/2024</v>
      </c>
      <c r="G76" s="23">
        <f>VLOOKUP(A76,Base!B:H,4,0)</f>
        <v>0</v>
      </c>
      <c r="H76" s="51" t="str">
        <f>VLOOKUP($A76,Base[],5,0)</f>
        <v>NFS-e/RPA</v>
      </c>
      <c r="I76" s="35"/>
      <c r="J76" s="51" t="str">
        <f>VLOOKUP(ExtratoBanco8[[#This Row],[Nº]],Base!B:H,7,0)</f>
        <v xml:space="preserve">APRESENTAÇÃO PALCOS SUNSET - VERÃO MAIOR PARANÁ </v>
      </c>
      <c r="K76" s="19"/>
      <c r="L76" s="130">
        <v>8000</v>
      </c>
      <c r="M76" s="20">
        <f>M75+ExtratoBanco8[[#This Row],[CRÉDITO]]-ExtratoBanco8[[#This Row],[DÉBITO]]</f>
        <v>4800411.5800000038</v>
      </c>
      <c r="N76" s="132"/>
    </row>
    <row r="77" spans="1:14" ht="12.75" customHeight="1" x14ac:dyDescent="0.25">
      <c r="A77" s="128">
        <v>14</v>
      </c>
      <c r="B77" s="128"/>
      <c r="C77" s="17" t="s">
        <v>628</v>
      </c>
      <c r="D77" s="129"/>
      <c r="E77" s="17" t="str">
        <f>VLOOKUP(A77,Base[],2,0)</f>
        <v>3.3.90.39.39 - ENCARGOS FINANCEIROS INDEDUTÍVEIS</v>
      </c>
      <c r="F77" s="17" t="str">
        <f>VLOOKUP(A77,Base!B:D,3,0)</f>
        <v>BANCO DO BRASIL</v>
      </c>
      <c r="G77" s="23">
        <f>VLOOKUP(A77,Base!B:H,4,0)</f>
        <v>191</v>
      </c>
      <c r="H77" s="51" t="str">
        <f>VLOOKUP($A77,Base[],5,0)</f>
        <v>AVISO DE DÉBITO</v>
      </c>
      <c r="I77" s="35"/>
      <c r="J77" s="51" t="str">
        <f>VLOOKUP(ExtratoBanco8[[#This Row],[Nº]],Base!B:H,7,0)</f>
        <v>TARIFA BANCÁRIA</v>
      </c>
      <c r="K77" s="19"/>
      <c r="L77" s="130">
        <v>12.3</v>
      </c>
      <c r="M77" s="20">
        <f>M76+ExtratoBanco8[[#This Row],[CRÉDITO]]-ExtratoBanco8[[#This Row],[DÉBITO]]</f>
        <v>4800399.280000004</v>
      </c>
      <c r="N77" s="132"/>
    </row>
    <row r="78" spans="1:14" ht="12.75" customHeight="1" x14ac:dyDescent="0.25">
      <c r="A78" s="128">
        <v>14</v>
      </c>
      <c r="B78" s="128"/>
      <c r="C78" s="17" t="s">
        <v>628</v>
      </c>
      <c r="D78" s="129"/>
      <c r="E78" s="17" t="str">
        <f>VLOOKUP(A78,Base[],2,0)</f>
        <v>3.3.90.39.39 - ENCARGOS FINANCEIROS INDEDUTÍVEIS</v>
      </c>
      <c r="F78" s="17" t="str">
        <f>VLOOKUP(A78,Base!B:D,3,0)</f>
        <v>BANCO DO BRASIL</v>
      </c>
      <c r="G78" s="23">
        <f>VLOOKUP(A78,Base!B:H,4,0)</f>
        <v>191</v>
      </c>
      <c r="H78" s="51" t="str">
        <f>VLOOKUP($A78,Base[],5,0)</f>
        <v>AVISO DE DÉBITO</v>
      </c>
      <c r="I78" s="35"/>
      <c r="J78" s="51" t="str">
        <f>VLOOKUP(ExtratoBanco8[[#This Row],[Nº]],Base!B:H,7,0)</f>
        <v>TARIFA BANCÁRIA</v>
      </c>
      <c r="K78" s="19"/>
      <c r="L78" s="130">
        <v>12.3</v>
      </c>
      <c r="M78" s="20">
        <f>M77+ExtratoBanco8[[#This Row],[CRÉDITO]]-ExtratoBanco8[[#This Row],[DÉBITO]]</f>
        <v>4800386.9800000042</v>
      </c>
      <c r="N78" s="132"/>
    </row>
    <row r="79" spans="1:14" ht="12.75" customHeight="1" x14ac:dyDescent="0.25">
      <c r="A79" s="128">
        <v>14</v>
      </c>
      <c r="B79" s="128"/>
      <c r="C79" s="17" t="s">
        <v>628</v>
      </c>
      <c r="D79" s="129"/>
      <c r="E79" s="17" t="str">
        <f>VLOOKUP(A79,Base[],2,0)</f>
        <v>3.3.90.39.39 - ENCARGOS FINANCEIROS INDEDUTÍVEIS</v>
      </c>
      <c r="F79" s="17" t="str">
        <f>VLOOKUP(A79,Base!B:D,3,0)</f>
        <v>BANCO DO BRASIL</v>
      </c>
      <c r="G79" s="23">
        <f>VLOOKUP(A79,Base!B:H,4,0)</f>
        <v>191</v>
      </c>
      <c r="H79" s="51" t="str">
        <f>VLOOKUP($A79,Base[],5,0)</f>
        <v>AVISO DE DÉBITO</v>
      </c>
      <c r="I79" s="35"/>
      <c r="J79" s="51" t="str">
        <f>VLOOKUP(ExtratoBanco8[[#This Row],[Nº]],Base!B:H,7,0)</f>
        <v>TARIFA BANCÁRIA</v>
      </c>
      <c r="K79" s="19"/>
      <c r="L79" s="130">
        <v>12.3</v>
      </c>
      <c r="M79" s="20">
        <f>M78+ExtratoBanco8[[#This Row],[CRÉDITO]]-ExtratoBanco8[[#This Row],[DÉBITO]]</f>
        <v>4800374.6800000044</v>
      </c>
      <c r="N79" s="132"/>
    </row>
    <row r="80" spans="1:14" ht="12.75" customHeight="1" x14ac:dyDescent="0.25">
      <c r="A80" s="128">
        <v>14</v>
      </c>
      <c r="B80" s="128"/>
      <c r="C80" s="17" t="s">
        <v>628</v>
      </c>
      <c r="D80" s="129"/>
      <c r="E80" s="17" t="str">
        <f>VLOOKUP(A80,Base[],2,0)</f>
        <v>3.3.90.39.39 - ENCARGOS FINANCEIROS INDEDUTÍVEIS</v>
      </c>
      <c r="F80" s="17" t="str">
        <f>VLOOKUP(A80,Base!B:D,3,0)</f>
        <v>BANCO DO BRASIL</v>
      </c>
      <c r="G80" s="23">
        <f>VLOOKUP(A80,Base!B:H,4,0)</f>
        <v>191</v>
      </c>
      <c r="H80" s="51" t="str">
        <f>VLOOKUP($A80,Base[],5,0)</f>
        <v>AVISO DE DÉBITO</v>
      </c>
      <c r="I80" s="35"/>
      <c r="J80" s="51" t="str">
        <f>VLOOKUP(ExtratoBanco8[[#This Row],[Nº]],Base!B:H,7,0)</f>
        <v>TARIFA BANCÁRIA</v>
      </c>
      <c r="K80" s="19"/>
      <c r="L80" s="130">
        <v>12.3</v>
      </c>
      <c r="M80" s="20">
        <f>M79+ExtratoBanco8[[#This Row],[CRÉDITO]]-ExtratoBanco8[[#This Row],[DÉBITO]]</f>
        <v>4800362.3800000045</v>
      </c>
      <c r="N80" s="132"/>
    </row>
    <row r="81" spans="1:14" ht="12.75" customHeight="1" x14ac:dyDescent="0.25">
      <c r="A81" s="128">
        <v>42</v>
      </c>
      <c r="B81" s="128"/>
      <c r="C81" s="17" t="s">
        <v>628</v>
      </c>
      <c r="D81" s="129"/>
      <c r="E81" s="17" t="str">
        <f>VLOOKUP(A81,Base[],2,0)</f>
        <v xml:space="preserve">3.3.90.39.00 – OUTROES SERVIÇOS DE TERCEIROS </v>
      </c>
      <c r="F81" s="17" t="str">
        <f>VLOOKUP(A81,Base!B:D,3,0)</f>
        <v>Contratação por Edital de Chamamento nº 01/2024</v>
      </c>
      <c r="G81" s="23">
        <f>VLOOKUP(A81,Base!B:H,4,0)</f>
        <v>0</v>
      </c>
      <c r="H81" s="51" t="str">
        <f>VLOOKUP($A81,Base[],5,0)</f>
        <v>NFS-e/RPA</v>
      </c>
      <c r="I81" s="35"/>
      <c r="J81" s="51" t="str">
        <f>VLOOKUP(ExtratoBanco8[[#This Row],[Nº]],Base!B:H,7,0)</f>
        <v xml:space="preserve">APRESENTAÇÃO PALCOS SUNSET - VERÃO MAIOR PARANÁ </v>
      </c>
      <c r="K81" s="19"/>
      <c r="L81" s="130">
        <v>17315</v>
      </c>
      <c r="M81" s="20">
        <f>M80+ExtratoBanco8[[#This Row],[CRÉDITO]]-ExtratoBanco8[[#This Row],[DÉBITO]]</f>
        <v>4783047.3800000045</v>
      </c>
      <c r="N81" s="132"/>
    </row>
    <row r="82" spans="1:14" ht="12.75" customHeight="1" x14ac:dyDescent="0.25">
      <c r="A82" s="128">
        <v>42</v>
      </c>
      <c r="B82" s="128"/>
      <c r="C82" s="17" t="s">
        <v>628</v>
      </c>
      <c r="D82" s="129"/>
      <c r="E82" s="17" t="str">
        <f>VLOOKUP(A82,Base[],2,0)</f>
        <v xml:space="preserve">3.3.90.39.00 – OUTROES SERVIÇOS DE TERCEIROS </v>
      </c>
      <c r="F82" s="17" t="str">
        <f>VLOOKUP(A82,Base!B:D,3,0)</f>
        <v>Contratação por Edital de Chamamento nº 01/2024</v>
      </c>
      <c r="G82" s="23">
        <f>VLOOKUP(A82,Base!B:H,4,0)</f>
        <v>0</v>
      </c>
      <c r="H82" s="51" t="str">
        <f>VLOOKUP($A82,Base[],5,0)</f>
        <v>NFS-e/RPA</v>
      </c>
      <c r="I82" s="35"/>
      <c r="J82" s="51" t="str">
        <f>VLOOKUP(ExtratoBanco8[[#This Row],[Nº]],Base!B:H,7,0)</f>
        <v xml:space="preserve">APRESENTAÇÃO PALCOS SUNSET - VERÃO MAIOR PARANÁ </v>
      </c>
      <c r="K82" s="19"/>
      <c r="L82" s="130">
        <v>4467.5</v>
      </c>
      <c r="M82" s="20">
        <f>M81+ExtratoBanco8[[#This Row],[CRÉDITO]]-ExtratoBanco8[[#This Row],[DÉBITO]]</f>
        <v>4778579.8800000045</v>
      </c>
      <c r="N82" s="132"/>
    </row>
    <row r="83" spans="1:14" ht="12.75" customHeight="1" x14ac:dyDescent="0.25">
      <c r="A83" s="128">
        <v>14</v>
      </c>
      <c r="B83" s="128"/>
      <c r="C83" s="17" t="s">
        <v>628</v>
      </c>
      <c r="D83" s="129"/>
      <c r="E83" s="17" t="str">
        <f>VLOOKUP(A83,Base[],2,0)</f>
        <v>3.3.90.39.39 - ENCARGOS FINANCEIROS INDEDUTÍVEIS</v>
      </c>
      <c r="F83" s="17" t="str">
        <f>VLOOKUP(A83,Base!B:D,3,0)</f>
        <v>BANCO DO BRASIL</v>
      </c>
      <c r="G83" s="23">
        <f>VLOOKUP(A83,Base!B:H,4,0)</f>
        <v>191</v>
      </c>
      <c r="H83" s="51" t="str">
        <f>VLOOKUP($A83,Base[],5,0)</f>
        <v>AVISO DE DÉBITO</v>
      </c>
      <c r="I83" s="35"/>
      <c r="J83" s="51" t="str">
        <f>VLOOKUP(ExtratoBanco8[[#This Row],[Nº]],Base!B:H,7,0)</f>
        <v>TARIFA BANCÁRIA</v>
      </c>
      <c r="K83" s="19"/>
      <c r="L83" s="130">
        <v>12.3</v>
      </c>
      <c r="M83" s="20">
        <f>M82+ExtratoBanco8[[#This Row],[CRÉDITO]]-ExtratoBanco8[[#This Row],[DÉBITO]]</f>
        <v>4778567.5800000047</v>
      </c>
      <c r="N83" s="132"/>
    </row>
    <row r="84" spans="1:14" ht="12.75" customHeight="1" x14ac:dyDescent="0.25">
      <c r="A84" s="128">
        <v>14</v>
      </c>
      <c r="B84" s="128"/>
      <c r="C84" s="17" t="s">
        <v>628</v>
      </c>
      <c r="D84" s="129"/>
      <c r="E84" s="17" t="str">
        <f>VLOOKUP(A84,Base[],2,0)</f>
        <v>3.3.90.39.39 - ENCARGOS FINANCEIROS INDEDUTÍVEIS</v>
      </c>
      <c r="F84" s="17" t="str">
        <f>VLOOKUP(A84,Base!B:D,3,0)</f>
        <v>BANCO DO BRASIL</v>
      </c>
      <c r="G84" s="23">
        <f>VLOOKUP(A84,Base!B:H,4,0)</f>
        <v>191</v>
      </c>
      <c r="H84" s="51" t="str">
        <f>VLOOKUP($A84,Base[],5,0)</f>
        <v>AVISO DE DÉBITO</v>
      </c>
      <c r="I84" s="35"/>
      <c r="J84" s="51" t="str">
        <f>VLOOKUP(ExtratoBanco8[[#This Row],[Nº]],Base!B:H,7,0)</f>
        <v>TARIFA BANCÁRIA</v>
      </c>
      <c r="K84" s="19"/>
      <c r="L84" s="130">
        <v>12.3</v>
      </c>
      <c r="M84" s="20">
        <f>M83+ExtratoBanco8[[#This Row],[CRÉDITO]]-ExtratoBanco8[[#This Row],[DÉBITO]]</f>
        <v>4778555.2800000049</v>
      </c>
      <c r="N84" s="132"/>
    </row>
    <row r="85" spans="1:14" ht="12.75" customHeight="1" x14ac:dyDescent="0.25">
      <c r="A85" s="128">
        <v>55</v>
      </c>
      <c r="B85" s="128"/>
      <c r="C85" s="17" t="s">
        <v>628</v>
      </c>
      <c r="D85" s="129"/>
      <c r="E85" s="17" t="str">
        <f>VLOOKUP(A85,Base[],2,0)</f>
        <v xml:space="preserve">3.3.90.39.23 – FESTIVAIS E HOMENAGENS </v>
      </c>
      <c r="F85" s="17" t="s">
        <v>649</v>
      </c>
      <c r="G85" s="23" t="s">
        <v>650</v>
      </c>
      <c r="H85" s="51" t="str">
        <f>VLOOKUP($A85,Base[],5,0)</f>
        <v>NF-e</v>
      </c>
      <c r="I85" s="35">
        <v>24</v>
      </c>
      <c r="J85" s="51" t="s">
        <v>651</v>
      </c>
      <c r="K85" s="19"/>
      <c r="L85" s="130">
        <v>298678.58</v>
      </c>
      <c r="M85" s="20">
        <f>M84+ExtratoBanco8[[#This Row],[CRÉDITO]]-ExtratoBanco8[[#This Row],[DÉBITO]]</f>
        <v>4479876.7000000048</v>
      </c>
      <c r="N85" s="132"/>
    </row>
    <row r="86" spans="1:14" ht="12.75" customHeight="1" x14ac:dyDescent="0.2">
      <c r="A86" s="128">
        <v>55</v>
      </c>
      <c r="B86" s="128"/>
      <c r="C86" s="17" t="s">
        <v>628</v>
      </c>
      <c r="D86" s="129"/>
      <c r="E86" s="17" t="str">
        <f>VLOOKUP(A86,Base[],2,0)</f>
        <v xml:space="preserve">3.3.90.39.23 – FESTIVAIS E HOMENAGENS </v>
      </c>
      <c r="F86" s="17" t="s">
        <v>645</v>
      </c>
      <c r="G86" s="23" t="s">
        <v>646</v>
      </c>
      <c r="H86" s="54" t="s">
        <v>76</v>
      </c>
      <c r="I86" s="35">
        <v>1617</v>
      </c>
      <c r="J86" s="51" t="s">
        <v>647</v>
      </c>
      <c r="K86" s="19"/>
      <c r="L86" s="130">
        <v>1110224.47</v>
      </c>
      <c r="M86" s="20">
        <f>M85+ExtratoBanco8[[#This Row],[CRÉDITO]]-ExtratoBanco8[[#This Row],[DÉBITO]]</f>
        <v>3369652.2300000051</v>
      </c>
      <c r="N86" s="132"/>
    </row>
    <row r="87" spans="1:14" ht="12.75" customHeight="1" x14ac:dyDescent="0.25">
      <c r="A87" s="128">
        <v>14</v>
      </c>
      <c r="B87" s="128"/>
      <c r="C87" s="17" t="s">
        <v>628</v>
      </c>
      <c r="D87" s="129"/>
      <c r="E87" s="17" t="str">
        <f>VLOOKUP(A87,Base[],2,0)</f>
        <v>3.3.90.39.39 - ENCARGOS FINANCEIROS INDEDUTÍVEIS</v>
      </c>
      <c r="F87" s="17" t="str">
        <f>VLOOKUP(A87,Base!B:D,3,0)</f>
        <v>BANCO DO BRASIL</v>
      </c>
      <c r="G87" s="23">
        <f>VLOOKUP(A87,Base!B:H,4,0)</f>
        <v>191</v>
      </c>
      <c r="H87" s="51" t="str">
        <f>VLOOKUP($A87,Base[],5,0)</f>
        <v>AVISO DE DÉBITO</v>
      </c>
      <c r="I87" s="35"/>
      <c r="J87" s="51" t="str">
        <f>VLOOKUP(ExtratoBanco8[[#This Row],[Nº]],Base!B:H,7,0)</f>
        <v>TARIFA BANCÁRIA</v>
      </c>
      <c r="K87" s="19"/>
      <c r="L87" s="130">
        <v>1.6</v>
      </c>
      <c r="M87" s="20">
        <f>M86+ExtratoBanco8[[#This Row],[CRÉDITO]]-ExtratoBanco8[[#This Row],[DÉBITO]]</f>
        <v>3369650.630000005</v>
      </c>
      <c r="N87" s="132"/>
    </row>
    <row r="88" spans="1:14" ht="12.75" customHeight="1" x14ac:dyDescent="0.25">
      <c r="A88" s="128">
        <v>14</v>
      </c>
      <c r="B88" s="128"/>
      <c r="C88" s="17" t="s">
        <v>628</v>
      </c>
      <c r="D88" s="129"/>
      <c r="E88" s="17" t="str">
        <f>VLOOKUP(A88,Base[],2,0)</f>
        <v>3.3.90.39.39 - ENCARGOS FINANCEIROS INDEDUTÍVEIS</v>
      </c>
      <c r="F88" s="17" t="str">
        <f>VLOOKUP(A88,Base!B:D,3,0)</f>
        <v>BANCO DO BRASIL</v>
      </c>
      <c r="G88" s="23">
        <f>VLOOKUP(A88,Base!B:H,4,0)</f>
        <v>191</v>
      </c>
      <c r="H88" s="51" t="str">
        <f>VLOOKUP($A88,Base[],5,0)</f>
        <v>AVISO DE DÉBITO</v>
      </c>
      <c r="I88" s="35"/>
      <c r="J88" s="51" t="str">
        <f>VLOOKUP(ExtratoBanco8[[#This Row],[Nº]],Base!B:H,7,0)</f>
        <v>TARIFA BANCÁRIA</v>
      </c>
      <c r="K88" s="19"/>
      <c r="L88" s="130">
        <v>10</v>
      </c>
      <c r="M88" s="20">
        <f>M87+ExtratoBanco8[[#This Row],[CRÉDITO]]-ExtratoBanco8[[#This Row],[DÉBITO]]</f>
        <v>3369640.630000005</v>
      </c>
      <c r="N88" s="132"/>
    </row>
    <row r="89" spans="1:14" ht="12.75" customHeight="1" x14ac:dyDescent="0.25">
      <c r="A89" s="128">
        <v>42</v>
      </c>
      <c r="B89" s="128"/>
      <c r="C89" s="17" t="s">
        <v>628</v>
      </c>
      <c r="D89" s="129"/>
      <c r="E89" s="17" t="str">
        <f>VLOOKUP(A89,Base[],2,0)</f>
        <v xml:space="preserve">3.3.90.39.00 – OUTROES SERVIÇOS DE TERCEIROS </v>
      </c>
      <c r="F89" s="17" t="str">
        <f>VLOOKUP(A89,Base!B:D,3,0)</f>
        <v>Contratação por Edital de Chamamento nº 01/2024</v>
      </c>
      <c r="G89" s="23">
        <f>VLOOKUP(A89,Base!B:H,4,0)</f>
        <v>0</v>
      </c>
      <c r="H89" s="51" t="str">
        <f>VLOOKUP($A89,Base[],5,0)</f>
        <v>NFS-e/RPA</v>
      </c>
      <c r="I89" s="35"/>
      <c r="J89" s="51" t="str">
        <f>VLOOKUP(ExtratoBanco8[[#This Row],[Nº]],Base!B:H,7,0)</f>
        <v xml:space="preserve">APRESENTAÇÃO PALCOS SUNSET - VERÃO MAIOR PARANÁ </v>
      </c>
      <c r="K89" s="19"/>
      <c r="L89" s="130">
        <v>2950</v>
      </c>
      <c r="M89" s="20">
        <f>M88+ExtratoBanco8[[#This Row],[CRÉDITO]]-ExtratoBanco8[[#This Row],[DÉBITO]]</f>
        <v>3366690.630000005</v>
      </c>
      <c r="N89" s="132"/>
    </row>
    <row r="90" spans="1:14" ht="12.75" customHeight="1" x14ac:dyDescent="0.25">
      <c r="A90" s="128">
        <v>42</v>
      </c>
      <c r="B90" s="128"/>
      <c r="C90" s="17" t="s">
        <v>628</v>
      </c>
      <c r="D90" s="129"/>
      <c r="E90" s="17" t="str">
        <f>VLOOKUP(A90,Base[],2,0)</f>
        <v xml:space="preserve">3.3.90.39.00 – OUTROES SERVIÇOS DE TERCEIROS </v>
      </c>
      <c r="F90" s="17" t="str">
        <f>VLOOKUP(A90,Base!B:D,3,0)</f>
        <v>Contratação por Edital de Chamamento nº 01/2024</v>
      </c>
      <c r="G90" s="23">
        <f>VLOOKUP(A90,Base!B:H,4,0)</f>
        <v>0</v>
      </c>
      <c r="H90" s="51" t="str">
        <f>VLOOKUP($A90,Base[],5,0)</f>
        <v>NFS-e/RPA</v>
      </c>
      <c r="I90" s="35"/>
      <c r="J90" s="51" t="str">
        <f>VLOOKUP(ExtratoBanco8[[#This Row],[Nº]],Base!B:H,7,0)</f>
        <v xml:space="preserve">APRESENTAÇÃO PALCOS SUNSET - VERÃO MAIOR PARANÁ </v>
      </c>
      <c r="K90" s="19"/>
      <c r="L90" s="130">
        <v>8000</v>
      </c>
      <c r="M90" s="20">
        <f>M89+ExtratoBanco8[[#This Row],[CRÉDITO]]-ExtratoBanco8[[#This Row],[DÉBITO]]</f>
        <v>3358690.630000005</v>
      </c>
      <c r="N90" s="132"/>
    </row>
    <row r="91" spans="1:14" ht="12.75" customHeight="1" x14ac:dyDescent="0.25">
      <c r="A91" s="128">
        <v>42</v>
      </c>
      <c r="B91" s="128"/>
      <c r="C91" s="17" t="s">
        <v>628</v>
      </c>
      <c r="D91" s="129"/>
      <c r="E91" s="17" t="str">
        <f>VLOOKUP(A91,Base[],2,0)</f>
        <v xml:space="preserve">3.3.90.39.00 – OUTROES SERVIÇOS DE TERCEIROS </v>
      </c>
      <c r="F91" s="17" t="str">
        <f>VLOOKUP(A91,Base!B:D,3,0)</f>
        <v>Contratação por Edital de Chamamento nº 01/2024</v>
      </c>
      <c r="G91" s="23">
        <f>VLOOKUP(A91,Base!B:H,4,0)</f>
        <v>0</v>
      </c>
      <c r="H91" s="51" t="str">
        <f>VLOOKUP($A91,Base[],5,0)</f>
        <v>NFS-e/RPA</v>
      </c>
      <c r="I91" s="35"/>
      <c r="J91" s="51" t="str">
        <f>VLOOKUP(ExtratoBanco8[[#This Row],[Nº]],Base!B:H,7,0)</f>
        <v xml:space="preserve">APRESENTAÇÃO PALCOS SUNSET - VERÃO MAIOR PARANÁ </v>
      </c>
      <c r="K91" s="19"/>
      <c r="L91" s="130">
        <v>8000</v>
      </c>
      <c r="M91" s="20">
        <f>M90+ExtratoBanco8[[#This Row],[CRÉDITO]]-ExtratoBanco8[[#This Row],[DÉBITO]]</f>
        <v>3350690.630000005</v>
      </c>
      <c r="N91" s="132"/>
    </row>
    <row r="92" spans="1:14" ht="12.75" customHeight="1" x14ac:dyDescent="0.25">
      <c r="A92" s="128">
        <v>42</v>
      </c>
      <c r="B92" s="128"/>
      <c r="C92" s="17" t="s">
        <v>628</v>
      </c>
      <c r="D92" s="129"/>
      <c r="E92" s="17" t="str">
        <f>VLOOKUP(A92,Base[],2,0)</f>
        <v xml:space="preserve">3.3.90.39.00 – OUTROES SERVIÇOS DE TERCEIROS </v>
      </c>
      <c r="F92" s="17" t="str">
        <f>VLOOKUP(A92,Base!B:D,3,0)</f>
        <v>Contratação por Edital de Chamamento nº 01/2024</v>
      </c>
      <c r="G92" s="23">
        <f>VLOOKUP(A92,Base!B:H,4,0)</f>
        <v>0</v>
      </c>
      <c r="H92" s="51" t="str">
        <f>VLOOKUP($A92,Base[],5,0)</f>
        <v>NFS-e/RPA</v>
      </c>
      <c r="I92" s="35"/>
      <c r="J92" s="51" t="str">
        <f>VLOOKUP(ExtratoBanco8[[#This Row],[Nº]],Base!B:H,7,0)</f>
        <v xml:space="preserve">APRESENTAÇÃO PALCOS SUNSET - VERÃO MAIOR PARANÁ </v>
      </c>
      <c r="K92" s="19"/>
      <c r="L92" s="130">
        <v>8000</v>
      </c>
      <c r="M92" s="20">
        <f>M91+ExtratoBanco8[[#This Row],[CRÉDITO]]-ExtratoBanco8[[#This Row],[DÉBITO]]</f>
        <v>3342690.630000005</v>
      </c>
      <c r="N92" s="132"/>
    </row>
    <row r="93" spans="1:14" ht="12.75" customHeight="1" x14ac:dyDescent="0.25">
      <c r="A93" s="128">
        <v>42</v>
      </c>
      <c r="B93" s="128"/>
      <c r="C93" s="17" t="s">
        <v>628</v>
      </c>
      <c r="D93" s="129"/>
      <c r="E93" s="17" t="str">
        <f>VLOOKUP(A93,Base[],2,0)</f>
        <v xml:space="preserve">3.3.90.39.00 – OUTROES SERVIÇOS DE TERCEIROS </v>
      </c>
      <c r="F93" s="17" t="str">
        <f>VLOOKUP(A93,Base!B:D,3,0)</f>
        <v>Contratação por Edital de Chamamento nº 01/2024</v>
      </c>
      <c r="G93" s="23">
        <f>VLOOKUP(A93,Base!B:H,4,0)</f>
        <v>0</v>
      </c>
      <c r="H93" s="51" t="str">
        <f>VLOOKUP($A93,Base[],5,0)</f>
        <v>NFS-e/RPA</v>
      </c>
      <c r="I93" s="35"/>
      <c r="J93" s="51" t="str">
        <f>VLOOKUP(ExtratoBanco8[[#This Row],[Nº]],Base!B:H,7,0)</f>
        <v xml:space="preserve">APRESENTAÇÃO PALCOS SUNSET - VERÃO MAIOR PARANÁ </v>
      </c>
      <c r="K93" s="19"/>
      <c r="L93" s="130">
        <v>8000</v>
      </c>
      <c r="M93" s="20">
        <f>M92+ExtratoBanco8[[#This Row],[CRÉDITO]]-ExtratoBanco8[[#This Row],[DÉBITO]]</f>
        <v>3334690.630000005</v>
      </c>
      <c r="N93" s="132"/>
    </row>
    <row r="94" spans="1:14" ht="12.75" customHeight="1" x14ac:dyDescent="0.25">
      <c r="A94" s="128">
        <v>42</v>
      </c>
      <c r="B94" s="128"/>
      <c r="C94" s="17" t="s">
        <v>628</v>
      </c>
      <c r="D94" s="129"/>
      <c r="E94" s="17" t="str">
        <f>VLOOKUP(A94,Base[],2,0)</f>
        <v xml:space="preserve">3.3.90.39.00 – OUTROES SERVIÇOS DE TERCEIROS </v>
      </c>
      <c r="F94" s="17" t="str">
        <f>VLOOKUP(A94,Base!B:D,3,0)</f>
        <v>Contratação por Edital de Chamamento nº 01/2024</v>
      </c>
      <c r="G94" s="23">
        <f>VLOOKUP(A94,Base!B:H,4,0)</f>
        <v>0</v>
      </c>
      <c r="H94" s="51" t="str">
        <f>VLOOKUP($A94,Base[],5,0)</f>
        <v>NFS-e/RPA</v>
      </c>
      <c r="I94" s="35"/>
      <c r="J94" s="51" t="str">
        <f>VLOOKUP(ExtratoBanco8[[#This Row],[Nº]],Base!B:H,7,0)</f>
        <v xml:space="preserve">APRESENTAÇÃO PALCOS SUNSET - VERÃO MAIOR PARANÁ </v>
      </c>
      <c r="K94" s="19"/>
      <c r="L94" s="130">
        <v>8000</v>
      </c>
      <c r="M94" s="20">
        <f>M93+ExtratoBanco8[[#This Row],[CRÉDITO]]-ExtratoBanco8[[#This Row],[DÉBITO]]</f>
        <v>3326690.630000005</v>
      </c>
      <c r="N94" s="132"/>
    </row>
    <row r="95" spans="1:14" ht="12.75" customHeight="1" x14ac:dyDescent="0.25">
      <c r="A95" s="128">
        <v>42</v>
      </c>
      <c r="B95" s="128"/>
      <c r="C95" s="17" t="s">
        <v>628</v>
      </c>
      <c r="D95" s="129"/>
      <c r="E95" s="17" t="str">
        <f>VLOOKUP(A95,Base[],2,0)</f>
        <v xml:space="preserve">3.3.90.39.00 – OUTROES SERVIÇOS DE TERCEIROS </v>
      </c>
      <c r="F95" s="17" t="str">
        <f>VLOOKUP(A95,Base!B:D,3,0)</f>
        <v>Contratação por Edital de Chamamento nº 01/2024</v>
      </c>
      <c r="G95" s="23">
        <f>VLOOKUP(A95,Base!B:H,4,0)</f>
        <v>0</v>
      </c>
      <c r="H95" s="51" t="str">
        <f>VLOOKUP($A95,Base[],5,0)</f>
        <v>NFS-e/RPA</v>
      </c>
      <c r="I95" s="35"/>
      <c r="J95" s="51" t="str">
        <f>VLOOKUP(ExtratoBanco8[[#This Row],[Nº]],Base!B:H,7,0)</f>
        <v xml:space="preserve">APRESENTAÇÃO PALCOS SUNSET - VERÃO MAIOR PARANÁ </v>
      </c>
      <c r="K95" s="19"/>
      <c r="L95" s="130">
        <v>8000</v>
      </c>
      <c r="M95" s="20">
        <f>M94+ExtratoBanco8[[#This Row],[CRÉDITO]]-ExtratoBanco8[[#This Row],[DÉBITO]]</f>
        <v>3318690.630000005</v>
      </c>
      <c r="N95" s="132"/>
    </row>
    <row r="96" spans="1:14" ht="12.75" customHeight="1" x14ac:dyDescent="0.25">
      <c r="A96" s="128">
        <v>42</v>
      </c>
      <c r="B96" s="128"/>
      <c r="C96" s="17" t="s">
        <v>628</v>
      </c>
      <c r="D96" s="129"/>
      <c r="E96" s="17" t="str">
        <f>VLOOKUP(A96,Base[],2,0)</f>
        <v xml:space="preserve">3.3.90.39.00 – OUTROES SERVIÇOS DE TERCEIROS </v>
      </c>
      <c r="F96" s="17" t="str">
        <f>VLOOKUP(A96,Base!B:D,3,0)</f>
        <v>Contratação por Edital de Chamamento nº 01/2024</v>
      </c>
      <c r="G96" s="23">
        <f>VLOOKUP(A96,Base!B:H,4,0)</f>
        <v>0</v>
      </c>
      <c r="H96" s="51" t="str">
        <f>VLOOKUP($A96,Base[],5,0)</f>
        <v>NFS-e/RPA</v>
      </c>
      <c r="I96" s="35"/>
      <c r="J96" s="51" t="str">
        <f>VLOOKUP(ExtratoBanco8[[#This Row],[Nº]],Base!B:H,7,0)</f>
        <v xml:space="preserve">APRESENTAÇÃO PALCOS SUNSET - VERÃO MAIOR PARANÁ </v>
      </c>
      <c r="K96" s="19"/>
      <c r="L96" s="130">
        <v>8000</v>
      </c>
      <c r="M96" s="20">
        <f>M95+ExtratoBanco8[[#This Row],[CRÉDITO]]-ExtratoBanco8[[#This Row],[DÉBITO]]</f>
        <v>3310690.630000005</v>
      </c>
      <c r="N96" s="132"/>
    </row>
    <row r="97" spans="1:14" ht="12.75" customHeight="1" x14ac:dyDescent="0.25">
      <c r="A97" s="128">
        <v>42</v>
      </c>
      <c r="B97" s="128"/>
      <c r="C97" s="17" t="s">
        <v>628</v>
      </c>
      <c r="D97" s="129"/>
      <c r="E97" s="17" t="str">
        <f>VLOOKUP(A97,Base[],2,0)</f>
        <v xml:space="preserve">3.3.90.39.00 – OUTROES SERVIÇOS DE TERCEIROS </v>
      </c>
      <c r="F97" s="17" t="str">
        <f>VLOOKUP(A97,Base!B:D,3,0)</f>
        <v>Contratação por Edital de Chamamento nº 01/2024</v>
      </c>
      <c r="G97" s="23">
        <f>VLOOKUP(A97,Base!B:H,4,0)</f>
        <v>0</v>
      </c>
      <c r="H97" s="51" t="str">
        <f>VLOOKUP($A97,Base[],5,0)</f>
        <v>NFS-e/RPA</v>
      </c>
      <c r="I97" s="35"/>
      <c r="J97" s="51" t="str">
        <f>VLOOKUP(ExtratoBanco8[[#This Row],[Nº]],Base!B:H,7,0)</f>
        <v xml:space="preserve">APRESENTAÇÃO PALCOS SUNSET - VERÃO MAIOR PARANÁ </v>
      </c>
      <c r="K97" s="19"/>
      <c r="L97" s="130">
        <v>8000</v>
      </c>
      <c r="M97" s="20">
        <f>M96+ExtratoBanco8[[#This Row],[CRÉDITO]]-ExtratoBanco8[[#This Row],[DÉBITO]]</f>
        <v>3302690.630000005</v>
      </c>
      <c r="N97" s="132"/>
    </row>
    <row r="98" spans="1:14" ht="12.75" customHeight="1" x14ac:dyDescent="0.25">
      <c r="A98" s="128">
        <v>42</v>
      </c>
      <c r="B98" s="128"/>
      <c r="C98" s="17" t="s">
        <v>628</v>
      </c>
      <c r="D98" s="129"/>
      <c r="E98" s="17" t="str">
        <f>VLOOKUP(A98,Base[],2,0)</f>
        <v xml:space="preserve">3.3.90.39.00 – OUTROES SERVIÇOS DE TERCEIROS </v>
      </c>
      <c r="F98" s="17" t="str">
        <f>VLOOKUP(A98,Base!B:D,3,0)</f>
        <v>Contratação por Edital de Chamamento nº 01/2024</v>
      </c>
      <c r="G98" s="23">
        <f>VLOOKUP(A98,Base!B:H,4,0)</f>
        <v>0</v>
      </c>
      <c r="H98" s="51" t="str">
        <f>VLOOKUP($A98,Base[],5,0)</f>
        <v>NFS-e/RPA</v>
      </c>
      <c r="I98" s="35"/>
      <c r="J98" s="51" t="str">
        <f>VLOOKUP(ExtratoBanco8[[#This Row],[Nº]],Base!B:H,7,0)</f>
        <v xml:space="preserve">APRESENTAÇÃO PALCOS SUNSET - VERÃO MAIOR PARANÁ </v>
      </c>
      <c r="K98" s="19"/>
      <c r="L98" s="130">
        <v>5698</v>
      </c>
      <c r="M98" s="20">
        <f>M97+ExtratoBanco8[[#This Row],[CRÉDITO]]-ExtratoBanco8[[#This Row],[DÉBITO]]</f>
        <v>3296992.630000005</v>
      </c>
      <c r="N98" s="132"/>
    </row>
    <row r="99" spans="1:14" ht="12.75" customHeight="1" x14ac:dyDescent="0.25">
      <c r="A99" s="128">
        <v>42</v>
      </c>
      <c r="B99" s="128"/>
      <c r="C99" s="17" t="s">
        <v>628</v>
      </c>
      <c r="D99" s="129"/>
      <c r="E99" s="17" t="str">
        <f>VLOOKUP(A99,Base[],2,0)</f>
        <v xml:space="preserve">3.3.90.39.00 – OUTROES SERVIÇOS DE TERCEIROS </v>
      </c>
      <c r="F99" s="17" t="str">
        <f>VLOOKUP(A99,Base!B:D,3,0)</f>
        <v>Contratação por Edital de Chamamento nº 01/2024</v>
      </c>
      <c r="G99" s="23">
        <f>VLOOKUP(A99,Base!B:H,4,0)</f>
        <v>0</v>
      </c>
      <c r="H99" s="51" t="str">
        <f>VLOOKUP($A99,Base[],5,0)</f>
        <v>NFS-e/RPA</v>
      </c>
      <c r="I99" s="35"/>
      <c r="J99" s="51" t="str">
        <f>VLOOKUP(ExtratoBanco8[[#This Row],[Nº]],Base!B:H,7,0)</f>
        <v xml:space="preserve">APRESENTAÇÃO PALCOS SUNSET - VERÃO MAIOR PARANÁ </v>
      </c>
      <c r="K99" s="19"/>
      <c r="L99" s="130">
        <v>5698</v>
      </c>
      <c r="M99" s="20">
        <f>M98+ExtratoBanco8[[#This Row],[CRÉDITO]]-ExtratoBanco8[[#This Row],[DÉBITO]]</f>
        <v>3291294.630000005</v>
      </c>
      <c r="N99" s="132"/>
    </row>
    <row r="100" spans="1:14" ht="12.75" customHeight="1" x14ac:dyDescent="0.25">
      <c r="A100" s="128">
        <v>42</v>
      </c>
      <c r="B100" s="128"/>
      <c r="C100" s="17" t="s">
        <v>628</v>
      </c>
      <c r="D100" s="129"/>
      <c r="E100" s="17" t="str">
        <f>VLOOKUP(A100,Base[],2,0)</f>
        <v xml:space="preserve">3.3.90.39.00 – OUTROES SERVIÇOS DE TERCEIROS </v>
      </c>
      <c r="F100" s="17" t="str">
        <f>VLOOKUP(A100,Base!B:D,3,0)</f>
        <v>Contratação por Edital de Chamamento nº 01/2024</v>
      </c>
      <c r="G100" s="23">
        <f>VLOOKUP(A100,Base!B:H,4,0)</f>
        <v>0</v>
      </c>
      <c r="H100" s="51" t="str">
        <f>VLOOKUP($A100,Base[],5,0)</f>
        <v>NFS-e/RPA</v>
      </c>
      <c r="I100" s="35"/>
      <c r="J100" s="51" t="str">
        <f>VLOOKUP(ExtratoBanco8[[#This Row],[Nº]],Base!B:H,7,0)</f>
        <v xml:space="preserve">APRESENTAÇÃO PALCOS SUNSET - VERÃO MAIOR PARANÁ </v>
      </c>
      <c r="K100" s="19"/>
      <c r="L100" s="130">
        <v>8000</v>
      </c>
      <c r="M100" s="20">
        <f>M99+ExtratoBanco8[[#This Row],[CRÉDITO]]-ExtratoBanco8[[#This Row],[DÉBITO]]</f>
        <v>3283294.630000005</v>
      </c>
      <c r="N100" s="132"/>
    </row>
    <row r="101" spans="1:14" ht="12.75" customHeight="1" x14ac:dyDescent="0.25">
      <c r="A101" s="128">
        <v>42</v>
      </c>
      <c r="B101" s="128"/>
      <c r="C101" s="17" t="s">
        <v>628</v>
      </c>
      <c r="D101" s="129"/>
      <c r="E101" s="17" t="str">
        <f>VLOOKUP(A101,Base[],2,0)</f>
        <v xml:space="preserve">3.3.90.39.00 – OUTROES SERVIÇOS DE TERCEIROS </v>
      </c>
      <c r="F101" s="17" t="str">
        <f>VLOOKUP(A101,Base!B:D,3,0)</f>
        <v>Contratação por Edital de Chamamento nº 01/2024</v>
      </c>
      <c r="G101" s="23">
        <f>VLOOKUP(A101,Base!B:H,4,0)</f>
        <v>0</v>
      </c>
      <c r="H101" s="51" t="str">
        <f>VLOOKUP($A101,Base[],5,0)</f>
        <v>NFS-e/RPA</v>
      </c>
      <c r="I101" s="35"/>
      <c r="J101" s="51" t="str">
        <f>VLOOKUP(ExtratoBanco8[[#This Row],[Nº]],Base!B:H,7,0)</f>
        <v xml:space="preserve">APRESENTAÇÃO PALCOS SUNSET - VERÃO MAIOR PARANÁ </v>
      </c>
      <c r="K101" s="19"/>
      <c r="L101" s="130">
        <v>5698</v>
      </c>
      <c r="M101" s="20">
        <f>M100+ExtratoBanco8[[#This Row],[CRÉDITO]]-ExtratoBanco8[[#This Row],[DÉBITO]]</f>
        <v>3277596.630000005</v>
      </c>
      <c r="N101" s="132"/>
    </row>
    <row r="102" spans="1:14" ht="12.75" customHeight="1" x14ac:dyDescent="0.25">
      <c r="A102" s="128">
        <v>42</v>
      </c>
      <c r="B102" s="128"/>
      <c r="C102" s="17" t="s">
        <v>628</v>
      </c>
      <c r="D102" s="129"/>
      <c r="E102" s="17" t="str">
        <f>VLOOKUP(A102,Base[],2,0)</f>
        <v xml:space="preserve">3.3.90.39.00 – OUTROES SERVIÇOS DE TERCEIROS </v>
      </c>
      <c r="F102" s="17" t="str">
        <f>VLOOKUP(A102,Base!B:D,3,0)</f>
        <v>Contratação por Edital de Chamamento nº 01/2024</v>
      </c>
      <c r="G102" s="23">
        <f>VLOOKUP(A102,Base!B:H,4,0)</f>
        <v>0</v>
      </c>
      <c r="H102" s="51" t="str">
        <f>VLOOKUP($A102,Base[],5,0)</f>
        <v>NFS-e/RPA</v>
      </c>
      <c r="I102" s="35"/>
      <c r="J102" s="51" t="str">
        <f>VLOOKUP(ExtratoBanco8[[#This Row],[Nº]],Base!B:H,7,0)</f>
        <v xml:space="preserve">APRESENTAÇÃO PALCOS SUNSET - VERÃO MAIOR PARANÁ </v>
      </c>
      <c r="K102" s="19"/>
      <c r="L102" s="130">
        <v>8000</v>
      </c>
      <c r="M102" s="20">
        <f>M101+ExtratoBanco8[[#This Row],[CRÉDITO]]-ExtratoBanco8[[#This Row],[DÉBITO]]</f>
        <v>3269596.630000005</v>
      </c>
      <c r="N102" s="132"/>
    </row>
    <row r="103" spans="1:14" ht="12.75" customHeight="1" x14ac:dyDescent="0.25">
      <c r="A103" s="128">
        <v>14</v>
      </c>
      <c r="B103" s="128"/>
      <c r="C103" s="17" t="s">
        <v>628</v>
      </c>
      <c r="D103" s="129"/>
      <c r="E103" s="17" t="str">
        <f>VLOOKUP(A103,Base[],2,0)</f>
        <v>3.3.90.39.39 - ENCARGOS FINANCEIROS INDEDUTÍVEIS</v>
      </c>
      <c r="F103" s="17" t="str">
        <f>VLOOKUP(A103,Base!B:D,3,0)</f>
        <v>BANCO DO BRASIL</v>
      </c>
      <c r="G103" s="23">
        <f>VLOOKUP(A103,Base!B:H,4,0)</f>
        <v>191</v>
      </c>
      <c r="H103" s="51" t="str">
        <f>VLOOKUP($A103,Base[],5,0)</f>
        <v>AVISO DE DÉBITO</v>
      </c>
      <c r="I103" s="35"/>
      <c r="J103" s="51" t="str">
        <f>VLOOKUP(ExtratoBanco8[[#This Row],[Nº]],Base!B:H,7,0)</f>
        <v>TARIFA BANCÁRIA</v>
      </c>
      <c r="K103" s="19"/>
      <c r="L103" s="130">
        <v>1.6</v>
      </c>
      <c r="M103" s="20">
        <f>M102+ExtratoBanco8[[#This Row],[CRÉDITO]]-ExtratoBanco8[[#This Row],[DÉBITO]]</f>
        <v>3269595.0300000049</v>
      </c>
      <c r="N103" s="132"/>
    </row>
    <row r="104" spans="1:14" ht="12.75" customHeight="1" x14ac:dyDescent="0.25">
      <c r="A104" s="128">
        <v>14</v>
      </c>
      <c r="B104" s="128"/>
      <c r="C104" s="17" t="s">
        <v>628</v>
      </c>
      <c r="D104" s="129"/>
      <c r="E104" s="17" t="str">
        <f>VLOOKUP(A104,Base[],2,0)</f>
        <v>3.3.90.39.39 - ENCARGOS FINANCEIROS INDEDUTÍVEIS</v>
      </c>
      <c r="F104" s="17" t="str">
        <f>VLOOKUP(A104,Base!B:D,3,0)</f>
        <v>BANCO DO BRASIL</v>
      </c>
      <c r="G104" s="23">
        <f>VLOOKUP(A104,Base!B:H,4,0)</f>
        <v>191</v>
      </c>
      <c r="H104" s="51" t="str">
        <f>VLOOKUP($A104,Base[],5,0)</f>
        <v>AVISO DE DÉBITO</v>
      </c>
      <c r="I104" s="35"/>
      <c r="J104" s="51" t="str">
        <f>VLOOKUP(ExtratoBanco8[[#This Row],[Nº]],Base!B:H,7,0)</f>
        <v>TARIFA BANCÁRIA</v>
      </c>
      <c r="K104" s="19"/>
      <c r="L104" s="130">
        <v>1.6</v>
      </c>
      <c r="M104" s="20">
        <f>M103+ExtratoBanco8[[#This Row],[CRÉDITO]]-ExtratoBanco8[[#This Row],[DÉBITO]]</f>
        <v>3269593.4300000048</v>
      </c>
      <c r="N104" s="132"/>
    </row>
    <row r="105" spans="1:14" ht="12.75" customHeight="1" x14ac:dyDescent="0.25">
      <c r="A105" s="128">
        <v>14</v>
      </c>
      <c r="B105" s="128"/>
      <c r="C105" s="17" t="s">
        <v>628</v>
      </c>
      <c r="D105" s="129"/>
      <c r="E105" s="17" t="str">
        <f>VLOOKUP(A105,Base[],2,0)</f>
        <v>3.3.90.39.39 - ENCARGOS FINANCEIROS INDEDUTÍVEIS</v>
      </c>
      <c r="F105" s="17" t="str">
        <f>VLOOKUP(A105,Base!B:D,3,0)</f>
        <v>BANCO DO BRASIL</v>
      </c>
      <c r="G105" s="23">
        <f>VLOOKUP(A105,Base!B:H,4,0)</f>
        <v>191</v>
      </c>
      <c r="H105" s="51" t="str">
        <f>VLOOKUP($A105,Base[],5,0)</f>
        <v>AVISO DE DÉBITO</v>
      </c>
      <c r="I105" s="35"/>
      <c r="J105" s="51" t="str">
        <f>VLOOKUP(ExtratoBanco8[[#This Row],[Nº]],Base!B:H,7,0)</f>
        <v>TARIFA BANCÁRIA</v>
      </c>
      <c r="K105" s="19"/>
      <c r="L105" s="130">
        <v>1.6</v>
      </c>
      <c r="M105" s="20">
        <f>M104+ExtratoBanco8[[#This Row],[CRÉDITO]]-ExtratoBanco8[[#This Row],[DÉBITO]]</f>
        <v>3269591.8300000047</v>
      </c>
      <c r="N105" s="132"/>
    </row>
    <row r="106" spans="1:14" ht="12.75" customHeight="1" x14ac:dyDescent="0.25">
      <c r="A106" s="128">
        <v>14</v>
      </c>
      <c r="B106" s="128"/>
      <c r="C106" s="17" t="s">
        <v>628</v>
      </c>
      <c r="D106" s="129"/>
      <c r="E106" s="17" t="str">
        <f>VLOOKUP(A106,Base[],2,0)</f>
        <v>3.3.90.39.39 - ENCARGOS FINANCEIROS INDEDUTÍVEIS</v>
      </c>
      <c r="F106" s="17" t="str">
        <f>VLOOKUP(A106,Base!B:D,3,0)</f>
        <v>BANCO DO BRASIL</v>
      </c>
      <c r="G106" s="23">
        <f>VLOOKUP(A106,Base!B:H,4,0)</f>
        <v>191</v>
      </c>
      <c r="H106" s="51" t="str">
        <f>VLOOKUP($A106,Base[],5,0)</f>
        <v>AVISO DE DÉBITO</v>
      </c>
      <c r="I106" s="35"/>
      <c r="J106" s="51" t="str">
        <f>VLOOKUP(ExtratoBanco8[[#This Row],[Nº]],Base!B:H,7,0)</f>
        <v>TARIFA BANCÁRIA</v>
      </c>
      <c r="K106" s="19"/>
      <c r="L106" s="130">
        <v>13</v>
      </c>
      <c r="M106" s="20">
        <f>M105+ExtratoBanco8[[#This Row],[CRÉDITO]]-ExtratoBanco8[[#This Row],[DÉBITO]]</f>
        <v>3269578.8300000047</v>
      </c>
      <c r="N106" s="132"/>
    </row>
    <row r="107" spans="1:14" ht="12.75" customHeight="1" x14ac:dyDescent="0.25">
      <c r="A107" s="128">
        <v>14</v>
      </c>
      <c r="B107" s="128"/>
      <c r="C107" s="17" t="s">
        <v>628</v>
      </c>
      <c r="D107" s="129"/>
      <c r="E107" s="17" t="str">
        <f>VLOOKUP(A107,Base[],2,0)</f>
        <v>3.3.90.39.39 - ENCARGOS FINANCEIROS INDEDUTÍVEIS</v>
      </c>
      <c r="F107" s="17" t="str">
        <f>VLOOKUP(A107,Base!B:D,3,0)</f>
        <v>BANCO DO BRASIL</v>
      </c>
      <c r="G107" s="23">
        <f>VLOOKUP(A107,Base!B:H,4,0)</f>
        <v>191</v>
      </c>
      <c r="H107" s="51" t="str">
        <f>VLOOKUP($A107,Base[],5,0)</f>
        <v>AVISO DE DÉBITO</v>
      </c>
      <c r="I107" s="35"/>
      <c r="J107" s="51" t="str">
        <f>VLOOKUP(ExtratoBanco8[[#This Row],[Nº]],Base!B:H,7,0)</f>
        <v>TARIFA BANCÁRIA</v>
      </c>
      <c r="K107" s="19"/>
      <c r="L107" s="130">
        <v>13</v>
      </c>
      <c r="M107" s="20">
        <f>M106+ExtratoBanco8[[#This Row],[CRÉDITO]]-ExtratoBanco8[[#This Row],[DÉBITO]]</f>
        <v>3269565.8300000047</v>
      </c>
      <c r="N107" s="132"/>
    </row>
    <row r="108" spans="1:14" ht="12.75" customHeight="1" x14ac:dyDescent="0.25">
      <c r="A108" s="128">
        <v>14</v>
      </c>
      <c r="B108" s="128"/>
      <c r="C108" s="17" t="s">
        <v>628</v>
      </c>
      <c r="D108" s="129"/>
      <c r="E108" s="17" t="str">
        <f>VLOOKUP(A108,Base[],2,0)</f>
        <v>3.3.90.39.39 - ENCARGOS FINANCEIROS INDEDUTÍVEIS</v>
      </c>
      <c r="F108" s="17" t="str">
        <f>VLOOKUP(A108,Base!B:D,3,0)</f>
        <v>BANCO DO BRASIL</v>
      </c>
      <c r="G108" s="23">
        <f>VLOOKUP(A108,Base!B:H,4,0)</f>
        <v>191</v>
      </c>
      <c r="H108" s="51" t="str">
        <f>VLOOKUP($A108,Base[],5,0)</f>
        <v>AVISO DE DÉBITO</v>
      </c>
      <c r="I108" s="35"/>
      <c r="J108" s="51" t="str">
        <f>VLOOKUP(ExtratoBanco8[[#This Row],[Nº]],Base!B:H,7,0)</f>
        <v>TARIFA BANCÁRIA</v>
      </c>
      <c r="K108" s="19"/>
      <c r="L108" s="130">
        <v>13</v>
      </c>
      <c r="M108" s="20">
        <f>M107+ExtratoBanco8[[#This Row],[CRÉDITO]]-ExtratoBanco8[[#This Row],[DÉBITO]]</f>
        <v>3269552.8300000047</v>
      </c>
      <c r="N108" s="132"/>
    </row>
    <row r="109" spans="1:14" ht="12.75" customHeight="1" x14ac:dyDescent="0.25">
      <c r="A109" s="128">
        <v>14</v>
      </c>
      <c r="B109" s="128"/>
      <c r="C109" s="17" t="s">
        <v>628</v>
      </c>
      <c r="D109" s="129"/>
      <c r="E109" s="17" t="str">
        <f>VLOOKUP(A109,Base[],2,0)</f>
        <v>3.3.90.39.39 - ENCARGOS FINANCEIROS INDEDUTÍVEIS</v>
      </c>
      <c r="F109" s="17" t="str">
        <f>VLOOKUP(A109,Base!B:D,3,0)</f>
        <v>BANCO DO BRASIL</v>
      </c>
      <c r="G109" s="23">
        <f>VLOOKUP(A109,Base!B:H,4,0)</f>
        <v>191</v>
      </c>
      <c r="H109" s="51" t="str">
        <f>VLOOKUP($A109,Base[],5,0)</f>
        <v>AVISO DE DÉBITO</v>
      </c>
      <c r="I109" s="35"/>
      <c r="J109" s="51" t="str">
        <f>VLOOKUP(ExtratoBanco8[[#This Row],[Nº]],Base!B:H,7,0)</f>
        <v>TARIFA BANCÁRIA</v>
      </c>
      <c r="K109" s="19"/>
      <c r="L109" s="130">
        <v>13</v>
      </c>
      <c r="M109" s="20">
        <f>M108+ExtratoBanco8[[#This Row],[CRÉDITO]]-ExtratoBanco8[[#This Row],[DÉBITO]]</f>
        <v>3269539.8300000047</v>
      </c>
      <c r="N109" s="132"/>
    </row>
    <row r="110" spans="1:14" ht="12.75" customHeight="1" x14ac:dyDescent="0.25">
      <c r="A110" s="128">
        <v>14</v>
      </c>
      <c r="B110" s="128"/>
      <c r="C110" s="17" t="s">
        <v>628</v>
      </c>
      <c r="D110" s="129"/>
      <c r="E110" s="17" t="str">
        <f>VLOOKUP(A110,Base[],2,0)</f>
        <v>3.3.90.39.39 - ENCARGOS FINANCEIROS INDEDUTÍVEIS</v>
      </c>
      <c r="F110" s="17" t="str">
        <f>VLOOKUP(A110,Base!B:D,3,0)</f>
        <v>BANCO DO BRASIL</v>
      </c>
      <c r="G110" s="23">
        <f>VLOOKUP(A110,Base!B:H,4,0)</f>
        <v>191</v>
      </c>
      <c r="H110" s="51" t="str">
        <f>VLOOKUP($A110,Base[],5,0)</f>
        <v>AVISO DE DÉBITO</v>
      </c>
      <c r="I110" s="35"/>
      <c r="J110" s="51" t="str">
        <f>VLOOKUP(ExtratoBanco8[[#This Row],[Nº]],Base!B:H,7,0)</f>
        <v>TARIFA BANCÁRIA</v>
      </c>
      <c r="K110" s="19"/>
      <c r="L110" s="130">
        <v>13</v>
      </c>
      <c r="M110" s="20">
        <f>M109+ExtratoBanco8[[#This Row],[CRÉDITO]]-ExtratoBanco8[[#This Row],[DÉBITO]]</f>
        <v>3269526.8300000047</v>
      </c>
      <c r="N110" s="132"/>
    </row>
    <row r="111" spans="1:14" ht="12.75" customHeight="1" x14ac:dyDescent="0.25">
      <c r="A111" s="128">
        <v>14</v>
      </c>
      <c r="B111" s="128"/>
      <c r="C111" s="17" t="s">
        <v>628</v>
      </c>
      <c r="D111" s="129"/>
      <c r="E111" s="17" t="str">
        <f>VLOOKUP(A111,Base[],2,0)</f>
        <v>3.3.90.39.39 - ENCARGOS FINANCEIROS INDEDUTÍVEIS</v>
      </c>
      <c r="F111" s="17" t="str">
        <f>VLOOKUP(A111,Base!B:D,3,0)</f>
        <v>BANCO DO BRASIL</v>
      </c>
      <c r="G111" s="23">
        <f>VLOOKUP(A111,Base!B:H,4,0)</f>
        <v>191</v>
      </c>
      <c r="H111" s="51" t="str">
        <f>VLOOKUP($A111,Base[],5,0)</f>
        <v>AVISO DE DÉBITO</v>
      </c>
      <c r="I111" s="35"/>
      <c r="J111" s="51" t="str">
        <f>VLOOKUP(ExtratoBanco8[[#This Row],[Nº]],Base!B:H,7,0)</f>
        <v>TARIFA BANCÁRIA</v>
      </c>
      <c r="K111" s="19"/>
      <c r="L111" s="130">
        <v>13</v>
      </c>
      <c r="M111" s="20">
        <f>M110+ExtratoBanco8[[#This Row],[CRÉDITO]]-ExtratoBanco8[[#This Row],[DÉBITO]]</f>
        <v>3269513.8300000047</v>
      </c>
      <c r="N111" s="132"/>
    </row>
    <row r="112" spans="1:14" ht="12.75" customHeight="1" x14ac:dyDescent="0.25">
      <c r="A112" s="128">
        <v>14</v>
      </c>
      <c r="B112" s="128"/>
      <c r="C112" s="17" t="s">
        <v>628</v>
      </c>
      <c r="D112" s="129"/>
      <c r="E112" s="17" t="str">
        <f>VLOOKUP(A112,Base[],2,0)</f>
        <v>3.3.90.39.39 - ENCARGOS FINANCEIROS INDEDUTÍVEIS</v>
      </c>
      <c r="F112" s="17" t="str">
        <f>VLOOKUP(A112,Base!B:D,3,0)</f>
        <v>BANCO DO BRASIL</v>
      </c>
      <c r="G112" s="23">
        <f>VLOOKUP(A112,Base!B:H,4,0)</f>
        <v>191</v>
      </c>
      <c r="H112" s="51" t="str">
        <f>VLOOKUP($A112,Base[],5,0)</f>
        <v>AVISO DE DÉBITO</v>
      </c>
      <c r="I112" s="35"/>
      <c r="J112" s="51" t="str">
        <f>VLOOKUP(ExtratoBanco8[[#This Row],[Nº]],Base!B:H,7,0)</f>
        <v>TARIFA BANCÁRIA</v>
      </c>
      <c r="K112" s="19"/>
      <c r="L112" s="130">
        <v>13</v>
      </c>
      <c r="M112" s="20">
        <f>M111+ExtratoBanco8[[#This Row],[CRÉDITO]]-ExtratoBanco8[[#This Row],[DÉBITO]]</f>
        <v>3269500.8300000047</v>
      </c>
      <c r="N112" s="132"/>
    </row>
    <row r="113" spans="1:15" ht="12.75" customHeight="1" x14ac:dyDescent="0.25">
      <c r="A113" s="128">
        <v>14</v>
      </c>
      <c r="B113" s="128"/>
      <c r="C113" s="17" t="s">
        <v>628</v>
      </c>
      <c r="D113" s="129"/>
      <c r="E113" s="17" t="str">
        <f>VLOOKUP(A113,Base[],2,0)</f>
        <v>3.3.90.39.39 - ENCARGOS FINANCEIROS INDEDUTÍVEIS</v>
      </c>
      <c r="F113" s="17" t="str">
        <f>VLOOKUP(A113,Base!B:D,3,0)</f>
        <v>BANCO DO BRASIL</v>
      </c>
      <c r="G113" s="23">
        <f>VLOOKUP(A113,Base!B:H,4,0)</f>
        <v>191</v>
      </c>
      <c r="H113" s="51" t="str">
        <f>VLOOKUP($A113,Base[],5,0)</f>
        <v>AVISO DE DÉBITO</v>
      </c>
      <c r="I113" s="35"/>
      <c r="J113" s="51" t="str">
        <f>VLOOKUP(ExtratoBanco8[[#This Row],[Nº]],Base!B:H,7,0)</f>
        <v>TARIFA BANCÁRIA</v>
      </c>
      <c r="K113" s="19"/>
      <c r="L113" s="130">
        <v>13</v>
      </c>
      <c r="M113" s="20">
        <f>M112+ExtratoBanco8[[#This Row],[CRÉDITO]]-ExtratoBanco8[[#This Row],[DÉBITO]]</f>
        <v>3269487.8300000047</v>
      </c>
      <c r="N113" s="132"/>
    </row>
    <row r="114" spans="1:15" ht="12.75" customHeight="1" x14ac:dyDescent="0.25">
      <c r="A114" s="128">
        <v>14</v>
      </c>
      <c r="B114" s="128"/>
      <c r="C114" s="17" t="s">
        <v>628</v>
      </c>
      <c r="D114" s="129"/>
      <c r="E114" s="17" t="str">
        <f>VLOOKUP(A114,Base[],2,0)</f>
        <v>3.3.90.39.39 - ENCARGOS FINANCEIROS INDEDUTÍVEIS</v>
      </c>
      <c r="F114" s="17" t="str">
        <f>VLOOKUP(A114,Base!B:D,3,0)</f>
        <v>BANCO DO BRASIL</v>
      </c>
      <c r="G114" s="23">
        <f>VLOOKUP(A114,Base!B:H,4,0)</f>
        <v>191</v>
      </c>
      <c r="H114" s="51" t="str">
        <f>VLOOKUP($A114,Base[],5,0)</f>
        <v>AVISO DE DÉBITO</v>
      </c>
      <c r="I114" s="35"/>
      <c r="J114" s="51" t="str">
        <f>VLOOKUP(ExtratoBanco8[[#This Row],[Nº]],Base!B:H,7,0)</f>
        <v>TARIFA BANCÁRIA</v>
      </c>
      <c r="K114" s="19"/>
      <c r="L114" s="130">
        <v>13</v>
      </c>
      <c r="M114" s="20">
        <f>M113+ExtratoBanco8[[#This Row],[CRÉDITO]]-ExtratoBanco8[[#This Row],[DÉBITO]]</f>
        <v>3269474.8300000047</v>
      </c>
      <c r="N114" s="132"/>
    </row>
    <row r="115" spans="1:15" ht="12.75" customHeight="1" x14ac:dyDescent="0.25">
      <c r="A115" s="128">
        <v>14</v>
      </c>
      <c r="B115" s="128"/>
      <c r="C115" s="17" t="s">
        <v>628</v>
      </c>
      <c r="D115" s="129"/>
      <c r="E115" s="17" t="str">
        <f>VLOOKUP(A115,Base[],2,0)</f>
        <v>3.3.90.39.39 - ENCARGOS FINANCEIROS INDEDUTÍVEIS</v>
      </c>
      <c r="F115" s="17" t="str">
        <f>VLOOKUP(A115,Base!B:D,3,0)</f>
        <v>BANCO DO BRASIL</v>
      </c>
      <c r="G115" s="23">
        <f>VLOOKUP(A115,Base!B:H,4,0)</f>
        <v>191</v>
      </c>
      <c r="H115" s="51" t="str">
        <f>VLOOKUP($A115,Base[],5,0)</f>
        <v>AVISO DE DÉBITO</v>
      </c>
      <c r="I115" s="35"/>
      <c r="J115" s="51" t="str">
        <f>VLOOKUP(ExtratoBanco8[[#This Row],[Nº]],Base!B:H,7,0)</f>
        <v>TARIFA BANCÁRIA</v>
      </c>
      <c r="K115" s="19"/>
      <c r="L115" s="130">
        <v>13</v>
      </c>
      <c r="M115" s="20">
        <f>M114+ExtratoBanco8[[#This Row],[CRÉDITO]]-ExtratoBanco8[[#This Row],[DÉBITO]]</f>
        <v>3269461.8300000047</v>
      </c>
      <c r="N115" s="132"/>
    </row>
    <row r="116" spans="1:15" ht="12.75" customHeight="1" x14ac:dyDescent="0.25">
      <c r="A116" s="128">
        <v>14</v>
      </c>
      <c r="B116" s="128"/>
      <c r="C116" s="17" t="s">
        <v>628</v>
      </c>
      <c r="D116" s="129"/>
      <c r="E116" s="17" t="str">
        <f>VLOOKUP(A116,Base[],2,0)</f>
        <v>3.3.90.39.39 - ENCARGOS FINANCEIROS INDEDUTÍVEIS</v>
      </c>
      <c r="F116" s="17" t="str">
        <f>VLOOKUP(A116,Base!B:D,3,0)</f>
        <v>BANCO DO BRASIL</v>
      </c>
      <c r="G116" s="23">
        <f>VLOOKUP(A116,Base!B:H,4,0)</f>
        <v>191</v>
      </c>
      <c r="H116" s="51" t="str">
        <f>VLOOKUP($A116,Base[],5,0)</f>
        <v>AVISO DE DÉBITO</v>
      </c>
      <c r="I116" s="35"/>
      <c r="J116" s="51" t="str">
        <f>VLOOKUP(ExtratoBanco8[[#This Row],[Nº]],Base!B:H,7,0)</f>
        <v>TARIFA BANCÁRIA</v>
      </c>
      <c r="K116" s="19"/>
      <c r="L116" s="130">
        <v>13</v>
      </c>
      <c r="M116" s="20">
        <f>M115+ExtratoBanco8[[#This Row],[CRÉDITO]]-ExtratoBanco8[[#This Row],[DÉBITO]]</f>
        <v>3269448.8300000047</v>
      </c>
      <c r="N116" s="132"/>
    </row>
    <row r="117" spans="1:15" ht="12.75" customHeight="1" x14ac:dyDescent="0.25">
      <c r="A117" s="128">
        <v>14</v>
      </c>
      <c r="B117" s="128"/>
      <c r="C117" s="17" t="s">
        <v>628</v>
      </c>
      <c r="D117" s="129"/>
      <c r="E117" s="17" t="str">
        <f>VLOOKUP(A117,Base[],2,0)</f>
        <v>3.3.90.39.39 - ENCARGOS FINANCEIROS INDEDUTÍVEIS</v>
      </c>
      <c r="F117" s="17" t="str">
        <f>VLOOKUP(A117,Base!B:D,3,0)</f>
        <v>BANCO DO BRASIL</v>
      </c>
      <c r="G117" s="23">
        <f>VLOOKUP(A117,Base!B:H,4,0)</f>
        <v>191</v>
      </c>
      <c r="H117" s="51" t="str">
        <f>VLOOKUP($A117,Base[],5,0)</f>
        <v>AVISO DE DÉBITO</v>
      </c>
      <c r="I117" s="35"/>
      <c r="J117" s="51" t="str">
        <f>VLOOKUP(ExtratoBanco8[[#This Row],[Nº]],Base!B:H,7,0)</f>
        <v>TARIFA BANCÁRIA</v>
      </c>
      <c r="K117" s="19"/>
      <c r="L117" s="130">
        <v>13</v>
      </c>
      <c r="M117" s="20">
        <f>M116+ExtratoBanco8[[#This Row],[CRÉDITO]]-ExtratoBanco8[[#This Row],[DÉBITO]]</f>
        <v>3269435.8300000047</v>
      </c>
      <c r="N117" s="132"/>
    </row>
    <row r="118" spans="1:15" ht="12.75" customHeight="1" x14ac:dyDescent="0.25">
      <c r="A118" s="128">
        <v>42</v>
      </c>
      <c r="B118" s="128"/>
      <c r="C118" s="17" t="s">
        <v>628</v>
      </c>
      <c r="D118" s="129"/>
      <c r="E118" s="17" t="str">
        <f>VLOOKUP(A118,Base[],2,0)</f>
        <v xml:space="preserve">3.3.90.39.00 – OUTROES SERVIÇOS DE TERCEIROS </v>
      </c>
      <c r="F118" s="17" t="str">
        <f>VLOOKUP(A118,Base!B:D,3,0)</f>
        <v>Contratação por Edital de Chamamento nº 01/2024</v>
      </c>
      <c r="G118" s="23">
        <f>VLOOKUP(A118,Base!B:H,4,0)</f>
        <v>0</v>
      </c>
      <c r="H118" s="51" t="str">
        <f>VLOOKUP($A118,Base[],5,0)</f>
        <v>NFS-e/RPA</v>
      </c>
      <c r="I118" s="35"/>
      <c r="J118" s="51" t="str">
        <f>VLOOKUP(ExtratoBanco8[[#This Row],[Nº]],Base!B:H,7,0)</f>
        <v xml:space="preserve">APRESENTAÇÃO PALCOS SUNSET - VERÃO MAIOR PARANÁ </v>
      </c>
      <c r="K118" s="19"/>
      <c r="L118" s="130">
        <v>8000</v>
      </c>
      <c r="M118" s="20">
        <f>M117+ExtratoBanco8[[#This Row],[CRÉDITO]]-ExtratoBanco8[[#This Row],[DÉBITO]]</f>
        <v>3261435.8300000047</v>
      </c>
      <c r="N118" s="132"/>
    </row>
    <row r="119" spans="1:15" ht="12.75" customHeight="1" x14ac:dyDescent="0.25">
      <c r="A119" s="128">
        <v>14</v>
      </c>
      <c r="B119" s="128"/>
      <c r="C119" s="17" t="s">
        <v>628</v>
      </c>
      <c r="D119" s="129"/>
      <c r="E119" s="17" t="str">
        <f>VLOOKUP(A119,Base[],2,0)</f>
        <v>3.3.90.39.39 - ENCARGOS FINANCEIROS INDEDUTÍVEIS</v>
      </c>
      <c r="F119" s="17" t="str">
        <f>VLOOKUP(A119,Base!B:D,3,0)</f>
        <v>BANCO DO BRASIL</v>
      </c>
      <c r="G119" s="23">
        <f>VLOOKUP(A119,Base!B:H,4,0)</f>
        <v>191</v>
      </c>
      <c r="H119" s="51" t="str">
        <f>VLOOKUP($A119,Base[],5,0)</f>
        <v>AVISO DE DÉBITO</v>
      </c>
      <c r="I119" s="35"/>
      <c r="J119" s="51" t="str">
        <f>VLOOKUP(ExtratoBanco8[[#This Row],[Nº]],Base!B:H,7,0)</f>
        <v>TARIFA BANCÁRIA</v>
      </c>
      <c r="K119" s="19"/>
      <c r="L119" s="130">
        <v>13</v>
      </c>
      <c r="M119" s="20">
        <f>M118+ExtratoBanco8[[#This Row],[CRÉDITO]]-ExtratoBanco8[[#This Row],[DÉBITO]]</f>
        <v>3261422.8300000047</v>
      </c>
      <c r="N119" s="132"/>
    </row>
    <row r="120" spans="1:15" ht="12.75" customHeight="1" x14ac:dyDescent="0.25">
      <c r="A120" s="128">
        <v>42</v>
      </c>
      <c r="B120" s="128"/>
      <c r="C120" s="17" t="s">
        <v>628</v>
      </c>
      <c r="D120" s="129"/>
      <c r="E120" s="17" t="str">
        <f>VLOOKUP(A120,Base[],2,0)</f>
        <v xml:space="preserve">3.3.90.39.00 – OUTROES SERVIÇOS DE TERCEIROS </v>
      </c>
      <c r="F120" s="17" t="str">
        <f>VLOOKUP(A120,Base!B:D,3,0)</f>
        <v>Contratação por Edital de Chamamento nº 01/2024</v>
      </c>
      <c r="G120" s="23">
        <f>VLOOKUP(A120,Base!B:H,4,0)</f>
        <v>0</v>
      </c>
      <c r="H120" s="51" t="str">
        <f>VLOOKUP($A120,Base[],5,0)</f>
        <v>NFS-e/RPA</v>
      </c>
      <c r="I120" s="35"/>
      <c r="J120" s="51" t="str">
        <f>VLOOKUP(ExtratoBanco8[[#This Row],[Nº]],Base!B:H,7,0)</f>
        <v xml:space="preserve">APRESENTAÇÃO PALCOS SUNSET - VERÃO MAIOR PARANÁ </v>
      </c>
      <c r="K120" s="19"/>
      <c r="L120" s="130">
        <v>400</v>
      </c>
      <c r="M120" s="20">
        <f>M119+ExtratoBanco8[[#This Row],[CRÉDITO]]-ExtratoBanco8[[#This Row],[DÉBITO]]</f>
        <v>3261022.8300000047</v>
      </c>
      <c r="N120" s="132"/>
    </row>
    <row r="121" spans="1:15" ht="12.75" customHeight="1" x14ac:dyDescent="0.25">
      <c r="A121" s="128">
        <v>42</v>
      </c>
      <c r="B121" s="128"/>
      <c r="C121" s="17" t="s">
        <v>628</v>
      </c>
      <c r="D121" s="129"/>
      <c r="E121" s="17" t="str">
        <f>VLOOKUP(A121,Base[],2,0)</f>
        <v xml:space="preserve">3.3.90.39.00 – OUTROES SERVIÇOS DE TERCEIROS </v>
      </c>
      <c r="F121" s="17" t="str">
        <f>VLOOKUP(A121,Base!B:D,3,0)</f>
        <v>Contratação por Edital de Chamamento nº 01/2024</v>
      </c>
      <c r="G121" s="23">
        <f>VLOOKUP(A121,Base!B:H,4,0)</f>
        <v>0</v>
      </c>
      <c r="H121" s="51" t="str">
        <f>VLOOKUP($A121,Base[],5,0)</f>
        <v>NFS-e/RPA</v>
      </c>
      <c r="I121" s="35"/>
      <c r="J121" s="51" t="str">
        <f>VLOOKUP(ExtratoBanco8[[#This Row],[Nº]],Base!B:H,7,0)</f>
        <v xml:space="preserve">APRESENTAÇÃO PALCOS SUNSET - VERÃO MAIOR PARANÁ </v>
      </c>
      <c r="K121" s="19"/>
      <c r="L121" s="130">
        <v>1500</v>
      </c>
      <c r="M121" s="20">
        <f>M120+ExtratoBanco8[[#This Row],[CRÉDITO]]-ExtratoBanco8[[#This Row],[DÉBITO]]</f>
        <v>3259522.8300000047</v>
      </c>
      <c r="N121" s="132"/>
    </row>
    <row r="122" spans="1:15" ht="12.75" customHeight="1" x14ac:dyDescent="0.25">
      <c r="A122" s="128">
        <v>42</v>
      </c>
      <c r="B122" s="128"/>
      <c r="C122" s="17" t="s">
        <v>628</v>
      </c>
      <c r="D122" s="129"/>
      <c r="E122" s="17" t="str">
        <f>VLOOKUP(A122,Base[],2,0)</f>
        <v xml:space="preserve">3.3.90.39.00 – OUTROES SERVIÇOS DE TERCEIROS </v>
      </c>
      <c r="F122" s="17" t="str">
        <f>VLOOKUP(A122,Base!B:D,3,0)</f>
        <v>Contratação por Edital de Chamamento nº 01/2024</v>
      </c>
      <c r="G122" s="23">
        <f>VLOOKUP(A122,Base!B:H,4,0)</f>
        <v>0</v>
      </c>
      <c r="H122" s="51" t="str">
        <f>VLOOKUP($A122,Base[],5,0)</f>
        <v>NFS-e/RPA</v>
      </c>
      <c r="I122" s="35"/>
      <c r="J122" s="51" t="str">
        <f>VLOOKUP(ExtratoBanco8[[#This Row],[Nº]],Base!B:H,7,0)</f>
        <v xml:space="preserve">APRESENTAÇÃO PALCOS SUNSET - VERÃO MAIOR PARANÁ </v>
      </c>
      <c r="K122" s="19"/>
      <c r="L122" s="130">
        <v>5658</v>
      </c>
      <c r="M122" s="20">
        <f>M121+ExtratoBanco8[[#This Row],[CRÉDITO]]-ExtratoBanco8[[#This Row],[DÉBITO]]</f>
        <v>3253864.8300000047</v>
      </c>
      <c r="N122" s="132"/>
    </row>
    <row r="123" spans="1:15" ht="12.75" customHeight="1" x14ac:dyDescent="0.25">
      <c r="A123" s="128">
        <v>14</v>
      </c>
      <c r="B123" s="128"/>
      <c r="C123" s="17" t="s">
        <v>628</v>
      </c>
      <c r="D123" s="129"/>
      <c r="E123" s="17" t="str">
        <f>VLOOKUP(A123,Base[],2,0)</f>
        <v>3.3.90.39.39 - ENCARGOS FINANCEIROS INDEDUTÍVEIS</v>
      </c>
      <c r="F123" s="17" t="str">
        <f>VLOOKUP(A123,Base!B:D,3,0)</f>
        <v>BANCO DO BRASIL</v>
      </c>
      <c r="G123" s="23">
        <f>VLOOKUP(A123,Base!B:H,4,0)</f>
        <v>191</v>
      </c>
      <c r="H123" s="51" t="str">
        <f>VLOOKUP($A123,Base[],5,0)</f>
        <v>AVISO DE DÉBITO</v>
      </c>
      <c r="I123" s="35"/>
      <c r="J123" s="51" t="str">
        <f>VLOOKUP(ExtratoBanco8[[#This Row],[Nº]],Base!B:H,7,0)</f>
        <v>TARIFA BANCÁRIA</v>
      </c>
      <c r="K123" s="19"/>
      <c r="L123" s="130">
        <v>13</v>
      </c>
      <c r="M123" s="20">
        <f>M122+ExtratoBanco8[[#This Row],[CRÉDITO]]-ExtratoBanco8[[#This Row],[DÉBITO]]</f>
        <v>3253851.8300000047</v>
      </c>
      <c r="N123" s="132"/>
    </row>
    <row r="124" spans="1:15" ht="12.75" customHeight="1" x14ac:dyDescent="0.25">
      <c r="A124" s="128">
        <v>23</v>
      </c>
      <c r="B124" s="128"/>
      <c r="C124" s="17" t="s">
        <v>628</v>
      </c>
      <c r="D124" s="129"/>
      <c r="E124" s="17" t="str">
        <f>VLOOKUP(A124,Base[],2,0)</f>
        <v>TRANSFERÊNCIA CONTA DE RESERVA</v>
      </c>
      <c r="F124" s="17" t="str">
        <f>VLOOKUP(A124,Base!B:D,3,0)</f>
        <v>PALCOPARANÁ</v>
      </c>
      <c r="G124" s="23" t="str">
        <f>VLOOKUP(A124,Base!B:H,4,0)</f>
        <v>25.298.788/0001-95</v>
      </c>
      <c r="H124" s="51">
        <f>VLOOKUP($A124,Base[],5,0)</f>
        <v>0</v>
      </c>
      <c r="I124" s="35"/>
      <c r="J124" s="51" t="str">
        <f>VLOOKUP(ExtratoBanco8[[#This Row],[Nº]],Base!B:H,7,0)</f>
        <v>TRANSFERÊNCIA 5% - CONTA DE RESERVA PALCOPARANÁ</v>
      </c>
      <c r="K124" s="19"/>
      <c r="L124" s="130">
        <v>600091.43000000005</v>
      </c>
      <c r="M124" s="20">
        <f>M123+ExtratoBanco8[[#This Row],[CRÉDITO]]-ExtratoBanco8[[#This Row],[DÉBITO]]</f>
        <v>2653760.4000000046</v>
      </c>
      <c r="N124" s="132"/>
    </row>
    <row r="125" spans="1:15" ht="12.75" customHeight="1" x14ac:dyDescent="0.25">
      <c r="A125" s="128">
        <v>55</v>
      </c>
      <c r="B125" s="128"/>
      <c r="C125" s="17" t="s">
        <v>628</v>
      </c>
      <c r="D125" s="129"/>
      <c r="E125" s="17" t="str">
        <f>VLOOKUP(A125,Base[],2,0)</f>
        <v xml:space="preserve">3.3.90.39.23 – FESTIVAIS E HOMENAGENS </v>
      </c>
      <c r="F125" s="17" t="s">
        <v>645</v>
      </c>
      <c r="G125" s="23" t="s">
        <v>646</v>
      </c>
      <c r="H125" s="51" t="str">
        <f>VLOOKUP($A125,Base[],5,0)</f>
        <v>NF-e</v>
      </c>
      <c r="I125" s="35">
        <v>1618</v>
      </c>
      <c r="J125" s="51" t="s">
        <v>647</v>
      </c>
      <c r="K125" s="19"/>
      <c r="L125" s="130">
        <v>961633.75</v>
      </c>
      <c r="M125" s="20">
        <f>M124+ExtratoBanco8[[#This Row],[CRÉDITO]]-ExtratoBanco8[[#This Row],[DÉBITO]]</f>
        <v>1692126.6500000046</v>
      </c>
      <c r="N125" s="132"/>
    </row>
    <row r="126" spans="1:15" ht="12.75" customHeight="1" x14ac:dyDescent="0.25">
      <c r="A126" s="128">
        <v>14</v>
      </c>
      <c r="B126" s="128"/>
      <c r="C126" s="17" t="s">
        <v>628</v>
      </c>
      <c r="D126" s="129"/>
      <c r="E126" s="17" t="str">
        <f>VLOOKUP(A126,Base[],2,0)</f>
        <v>3.3.90.39.39 - ENCARGOS FINANCEIROS INDEDUTÍVEIS</v>
      </c>
      <c r="F126" s="17" t="str">
        <f>VLOOKUP(A126,Base!B:D,3,0)</f>
        <v>BANCO DO BRASIL</v>
      </c>
      <c r="G126" s="23">
        <f>VLOOKUP(A126,Base!B:H,4,0)</f>
        <v>191</v>
      </c>
      <c r="H126" s="51" t="str">
        <f>VLOOKUP($A126,Base[],5,0)</f>
        <v>AVISO DE DÉBITO</v>
      </c>
      <c r="I126" s="35"/>
      <c r="J126" s="51" t="str">
        <f>VLOOKUP(ExtratoBanco8[[#This Row],[Nº]],Base!B:H,7,0)</f>
        <v>TARIFA BANCÁRIA</v>
      </c>
      <c r="K126" s="19"/>
      <c r="L126" s="130">
        <v>1.6</v>
      </c>
      <c r="M126" s="20">
        <f>M125+ExtratoBanco8[[#This Row],[CRÉDITO]]-ExtratoBanco8[[#This Row],[DÉBITO]]</f>
        <v>1692125.0500000045</v>
      </c>
      <c r="N126" s="132"/>
    </row>
    <row r="127" spans="1:15" ht="12.75" customHeight="1" x14ac:dyDescent="0.25">
      <c r="A127" s="128">
        <v>14</v>
      </c>
      <c r="B127" s="128"/>
      <c r="C127" s="17" t="s">
        <v>628</v>
      </c>
      <c r="D127" s="129"/>
      <c r="E127" s="17" t="str">
        <f>VLOOKUP(A127,Base[],2,0)</f>
        <v>3.3.90.39.39 - ENCARGOS FINANCEIROS INDEDUTÍVEIS</v>
      </c>
      <c r="F127" s="17" t="str">
        <f>VLOOKUP(A127,Base!B:D,3,0)</f>
        <v>BANCO DO BRASIL</v>
      </c>
      <c r="G127" s="23">
        <f>VLOOKUP(A127,Base!B:H,4,0)</f>
        <v>191</v>
      </c>
      <c r="H127" s="51" t="str">
        <f>VLOOKUP($A127,Base[],5,0)</f>
        <v>AVISO DE DÉBITO</v>
      </c>
      <c r="I127" s="35"/>
      <c r="J127" s="51" t="str">
        <f>VLOOKUP(ExtratoBanco8[[#This Row],[Nº]],Base!B:H,7,0)</f>
        <v>TARIFA BANCÁRIA</v>
      </c>
      <c r="K127" s="19"/>
      <c r="L127" s="130">
        <v>10</v>
      </c>
      <c r="M127" s="20">
        <f>M126+ExtratoBanco8[[#This Row],[CRÉDITO]]-ExtratoBanco8[[#This Row],[DÉBITO]]</f>
        <v>1692115.0500000045</v>
      </c>
      <c r="N127" s="132"/>
    </row>
    <row r="128" spans="1:15" ht="12.75" customHeight="1" x14ac:dyDescent="0.25">
      <c r="A128" s="128"/>
      <c r="B128" s="128"/>
      <c r="C128" s="17"/>
      <c r="D128" s="129"/>
      <c r="E128" s="17" t="e">
        <f>VLOOKUP(A128,Base[],2,0)</f>
        <v>#N/A</v>
      </c>
      <c r="F128" s="17" t="e">
        <f>VLOOKUP(A128,Base!B:D,3,0)</f>
        <v>#N/A</v>
      </c>
      <c r="G128" s="23" t="e">
        <f>VLOOKUP(A128,Base!B:H,4,0)</f>
        <v>#N/A</v>
      </c>
      <c r="H128" s="51" t="e">
        <f>VLOOKUP($A128,Base[],5,0)</f>
        <v>#N/A</v>
      </c>
      <c r="I128" s="35"/>
      <c r="J128" s="51" t="e">
        <f>VLOOKUP(ExtratoBanco8[[#This Row],[Nº]],Base!B:H,7,0)</f>
        <v>#N/A</v>
      </c>
      <c r="K128" s="19"/>
      <c r="L128" s="130"/>
      <c r="M128" s="20">
        <f>M127+ExtratoBanco8[[#This Row],[CRÉDITO]]-ExtratoBanco8[[#This Row],[DÉBITO]]</f>
        <v>1692115.0500000045</v>
      </c>
      <c r="N128" s="132"/>
      <c r="O128" s="133"/>
    </row>
    <row r="129" spans="13:14" ht="12.75" customHeight="1" x14ac:dyDescent="0.25">
      <c r="M129" s="133"/>
      <c r="N129" s="131"/>
    </row>
    <row r="130" spans="13:14" ht="12.75" customHeight="1" x14ac:dyDescent="0.25">
      <c r="M130" s="133"/>
      <c r="N130" s="131"/>
    </row>
    <row r="131" spans="13:14" ht="12.75" customHeight="1" x14ac:dyDescent="0.25">
      <c r="M131" s="133"/>
      <c r="N131" s="131"/>
    </row>
    <row r="132" spans="13:14" ht="12.75" customHeight="1" x14ac:dyDescent="0.25">
      <c r="M132" s="133"/>
      <c r="N132" s="131"/>
    </row>
    <row r="133" spans="13:14" ht="12.75" customHeight="1" x14ac:dyDescent="0.25">
      <c r="M133" s="133"/>
      <c r="N133" s="131"/>
    </row>
    <row r="134" spans="13:14" ht="12.75" customHeight="1" x14ac:dyDescent="0.25">
      <c r="M134" s="133"/>
      <c r="N134" s="131"/>
    </row>
    <row r="135" spans="13:14" ht="12.75" customHeight="1" x14ac:dyDescent="0.25">
      <c r="M135" s="133"/>
      <c r="N135" s="131"/>
    </row>
    <row r="136" spans="13:14" ht="12.75" customHeight="1" x14ac:dyDescent="0.25">
      <c r="M136" s="133"/>
      <c r="N136" s="131"/>
    </row>
    <row r="137" spans="13:14" ht="12.75" customHeight="1" x14ac:dyDescent="0.25">
      <c r="M137" s="133"/>
      <c r="N137" s="131"/>
    </row>
    <row r="138" spans="13:14" ht="12.75" customHeight="1" x14ac:dyDescent="0.25">
      <c r="M138" s="133"/>
      <c r="N138" s="131"/>
    </row>
    <row r="139" spans="13:14" ht="12.75" customHeight="1" x14ac:dyDescent="0.25">
      <c r="M139" s="133"/>
      <c r="N139" s="131"/>
    </row>
  </sheetData>
  <conditionalFormatting sqref="A1:A128">
    <cfRule type="cellIs" dxfId="43" priority="2" operator="between">
      <formula>1</formula>
      <formula>4</formula>
    </cfRule>
    <cfRule type="cellIs" dxfId="42" priority="3" operator="between">
      <formula>6</formula>
      <formula>18</formula>
    </cfRule>
    <cfRule type="cellIs" dxfId="41" priority="4" operator="between">
      <formula>20</formula>
      <formula>23</formula>
    </cfRule>
    <cfRule type="cellIs" dxfId="40" priority="5" operator="equal">
      <formula>24</formula>
    </cfRule>
    <cfRule type="cellIs" dxfId="39" priority="6" operator="between">
      <formula>25</formula>
      <formula>50</formula>
    </cfRule>
    <cfRule type="cellIs" dxfId="38" priority="7" operator="greaterThanOrEqual">
      <formula>52</formula>
    </cfRule>
    <cfRule type="cellIs" dxfId="37" priority="8" operator="equal">
      <formula>5</formula>
    </cfRule>
    <cfRule type="cellIs" dxfId="36" priority="9" operator="equal">
      <formula>19</formula>
    </cfRule>
    <cfRule type="cellIs" dxfId="35" priority="10" operator="equal">
      <formula>51</formula>
    </cfRule>
  </conditionalFormatting>
  <conditionalFormatting sqref="M2:M128">
    <cfRule type="cellIs" dxfId="34" priority="14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scale="10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33"/>
  <sheetViews>
    <sheetView showGridLines="0" zoomScaleNormal="100" workbookViewId="0">
      <pane ySplit="1" topLeftCell="A11" activePane="bottomLeft" state="frozen"/>
      <selection pane="bottomLeft" activeCell="G38" activeCellId="1" sqref="L15:L67 G38"/>
    </sheetView>
  </sheetViews>
  <sheetFormatPr defaultColWidth="9.140625" defaultRowHeight="15" x14ac:dyDescent="0.25"/>
  <cols>
    <col min="1" max="1" width="7.140625" style="140" customWidth="1"/>
    <col min="2" max="2" width="11.28515625" style="140" customWidth="1"/>
    <col min="3" max="3" width="12.85546875" style="140" customWidth="1"/>
    <col min="4" max="4" width="9.85546875" style="140" customWidth="1"/>
    <col min="5" max="5" width="34" style="140" customWidth="1"/>
    <col min="6" max="6" width="31.85546875" style="140" customWidth="1"/>
    <col min="7" max="7" width="15" style="140" customWidth="1"/>
    <col min="8" max="8" width="19.42578125" style="140" customWidth="1"/>
    <col min="9" max="9" width="9.85546875" style="141" customWidth="1"/>
    <col min="10" max="10" width="34.42578125" style="6" customWidth="1"/>
    <col min="11" max="11" width="13.28515625" style="140" customWidth="1"/>
    <col min="12" max="12" width="12.7109375" style="142" customWidth="1"/>
    <col min="13" max="13" width="12.7109375" style="140" customWidth="1"/>
    <col min="14" max="14" width="0.42578125" style="115" customWidth="1"/>
    <col min="15" max="15" width="3.85546875" style="143" customWidth="1"/>
    <col min="16" max="16" width="13.28515625" style="140" customWidth="1"/>
    <col min="17" max="16384" width="9.140625" style="140"/>
  </cols>
  <sheetData>
    <row r="1" spans="1:13" ht="12" customHeight="1" x14ac:dyDescent="0.25">
      <c r="A1" s="144" t="s">
        <v>0</v>
      </c>
      <c r="B1" s="145" t="s">
        <v>595</v>
      </c>
      <c r="C1" s="145" t="s">
        <v>587</v>
      </c>
      <c r="D1" s="145" t="s">
        <v>1</v>
      </c>
      <c r="E1" s="146" t="s">
        <v>2</v>
      </c>
      <c r="F1" s="146" t="s">
        <v>3</v>
      </c>
      <c r="G1" s="145" t="s">
        <v>4</v>
      </c>
      <c r="H1" s="145" t="s">
        <v>5</v>
      </c>
      <c r="I1" s="147" t="s">
        <v>6</v>
      </c>
      <c r="J1" s="148" t="s">
        <v>7</v>
      </c>
      <c r="K1" s="149" t="s">
        <v>8</v>
      </c>
      <c r="L1" s="150" t="s">
        <v>9</v>
      </c>
      <c r="M1" s="151" t="s">
        <v>10</v>
      </c>
    </row>
    <row r="2" spans="1:13" ht="12" customHeight="1" x14ac:dyDescent="0.25">
      <c r="A2" s="152">
        <v>1</v>
      </c>
      <c r="B2" s="128"/>
      <c r="C2" s="17" t="s">
        <v>590</v>
      </c>
      <c r="D2" s="129">
        <v>44946</v>
      </c>
      <c r="E2" s="17" t="str">
        <f>VLOOKUP(A2,Base[],2,0)</f>
        <v>3.1.90.11.61 - VENCIMENTOS E SALÁRIOS</v>
      </c>
      <c r="F2" s="17" t="s">
        <v>652</v>
      </c>
      <c r="G2" s="23">
        <f>VLOOKUP(A2,Base[],4,0)</f>
        <v>0</v>
      </c>
      <c r="H2" s="24" t="str">
        <f>VLOOKUP(A2,Base[],5,0)</f>
        <v>HOLERITE</v>
      </c>
      <c r="I2" s="35">
        <f>VLOOKUP(A2,Base[],6,0)</f>
        <v>0</v>
      </c>
      <c r="J2" s="51" t="s">
        <v>653</v>
      </c>
      <c r="K2" s="19"/>
      <c r="L2" s="130">
        <v>4142.58</v>
      </c>
      <c r="M2" s="21">
        <f>511.43-ExtratoBanco3[[#This Row],[DÉBITO]]</f>
        <v>-3631.15</v>
      </c>
    </row>
    <row r="3" spans="1:13" ht="12" customHeight="1" x14ac:dyDescent="0.25">
      <c r="A3" s="28">
        <v>10</v>
      </c>
      <c r="B3" s="128"/>
      <c r="C3" s="17" t="s">
        <v>590</v>
      </c>
      <c r="D3" s="129">
        <v>44946</v>
      </c>
      <c r="E3" s="17" t="str">
        <f>VLOOKUP(A3,Base[],2,0)</f>
        <v>3.1.90.13.02 - FGTS</v>
      </c>
      <c r="F3" s="17" t="str">
        <f>VLOOKUP(A3,Base[],3,0)</f>
        <v>CAIXA ECONÔMICA FEDERAL</v>
      </c>
      <c r="G3" s="23">
        <f>VLOOKUP(A3,Base[],4,0)</f>
        <v>0</v>
      </c>
      <c r="H3" s="24" t="str">
        <f>VLOOKUP(A3,Base[],5,0)</f>
        <v>GUIA GRRF</v>
      </c>
      <c r="I3" s="35">
        <f>VLOOKUP(A3,Base[],6,0)</f>
        <v>0</v>
      </c>
      <c r="J3" s="51" t="s">
        <v>654</v>
      </c>
      <c r="K3" s="19"/>
      <c r="L3" s="130">
        <v>140.12</v>
      </c>
      <c r="M3" s="21">
        <f>M2+ExtratoBanco3[[#This Row],[CRÉDITO]]-ExtratoBanco3[[#This Row],[DÉBITO]]</f>
        <v>-3771.27</v>
      </c>
    </row>
    <row r="4" spans="1:13" ht="12" customHeight="1" x14ac:dyDescent="0.25">
      <c r="A4" s="28">
        <v>5</v>
      </c>
      <c r="B4" s="128"/>
      <c r="C4" s="17" t="s">
        <v>590</v>
      </c>
      <c r="D4" s="129">
        <v>44946</v>
      </c>
      <c r="E4" s="17" t="str">
        <f>VLOOKUP(A4,Base[],2,0)</f>
        <v>RESGATE APLICAÇÃO</v>
      </c>
      <c r="F4" s="17" t="str">
        <f>VLOOKUP(A4,Base[],3,0)</f>
        <v>PALCOPARANÁ</v>
      </c>
      <c r="G4" s="23" t="str">
        <f>VLOOKUP(A4,Base[],4,0)</f>
        <v>25.298.788/0001-95</v>
      </c>
      <c r="H4" s="24">
        <f>VLOOKUP(A4,Base[],5,0)</f>
        <v>0</v>
      </c>
      <c r="I4" s="35">
        <f>VLOOKUP(A4,Base[],6,0)</f>
        <v>0</v>
      </c>
      <c r="J4" s="51" t="str">
        <f>VLOOKUP(A4,Base[],7,0)</f>
        <v>RESGATE APLICAÇÃO</v>
      </c>
      <c r="K4" s="19">
        <v>4000</v>
      </c>
      <c r="L4" s="130"/>
      <c r="M4" s="21">
        <f>M3+ExtratoBanco3[[#This Row],[CRÉDITO]]-ExtratoBanco3[[#This Row],[DÉBITO]]</f>
        <v>228.73000000000002</v>
      </c>
    </row>
    <row r="5" spans="1:13" ht="12" customHeight="1" x14ac:dyDescent="0.25">
      <c r="A5" s="28">
        <v>5</v>
      </c>
      <c r="B5" s="128"/>
      <c r="C5" s="17" t="s">
        <v>590</v>
      </c>
      <c r="D5" s="129">
        <v>44946</v>
      </c>
      <c r="E5" s="17" t="str">
        <f>VLOOKUP(A5,Base[],2,0)</f>
        <v>RESGATE APLICAÇÃO</v>
      </c>
      <c r="F5" s="17" t="str">
        <f>VLOOKUP(A5,Base[],3,0)</f>
        <v>PALCOPARANÁ</v>
      </c>
      <c r="G5" s="23" t="str">
        <f>VLOOKUP(A5,Base[],4,0)</f>
        <v>25.298.788/0001-95</v>
      </c>
      <c r="H5" s="24">
        <f>VLOOKUP(A5,Base[],5,0)</f>
        <v>0</v>
      </c>
      <c r="I5" s="35">
        <f>VLOOKUP(A5,Base[],6,0)</f>
        <v>0</v>
      </c>
      <c r="J5" s="51" t="str">
        <f>VLOOKUP(A5,Base[],7,0)</f>
        <v>RESGATE APLICAÇÃO</v>
      </c>
      <c r="K5" s="19">
        <v>1277.5999999999999</v>
      </c>
      <c r="L5" s="130"/>
      <c r="M5" s="21">
        <f>M4+ExtratoBanco3[[#This Row],[CRÉDITO]]-ExtratoBanco3[[#This Row],[DÉBITO]]</f>
        <v>1506.33</v>
      </c>
    </row>
    <row r="6" spans="1:13" ht="12" customHeight="1" x14ac:dyDescent="0.25">
      <c r="A6" s="28">
        <v>1</v>
      </c>
      <c r="B6" s="128"/>
      <c r="C6" s="17" t="s">
        <v>590</v>
      </c>
      <c r="D6" s="129">
        <v>44951</v>
      </c>
      <c r="E6" s="17" t="str">
        <f>VLOOKUP(A6,Base[],2,0)</f>
        <v>3.1.90.11.61 - VENCIMENTOS E SALÁRIOS</v>
      </c>
      <c r="F6" s="17" t="s">
        <v>655</v>
      </c>
      <c r="G6" s="23">
        <f>VLOOKUP(A6,Base[],4,0)</f>
        <v>0</v>
      </c>
      <c r="H6" s="24" t="str">
        <f>VLOOKUP(A6,Base[],5,0)</f>
        <v>HOLERITE</v>
      </c>
      <c r="I6" s="35">
        <f>VLOOKUP(A6,Base[],6,0)</f>
        <v>0</v>
      </c>
      <c r="J6" s="51" t="s">
        <v>653</v>
      </c>
      <c r="K6" s="19"/>
      <c r="L6" s="130">
        <v>32480.14</v>
      </c>
      <c r="M6" s="21">
        <f>M5+ExtratoBanco3[[#This Row],[CRÉDITO]]-ExtratoBanco3[[#This Row],[DÉBITO]]</f>
        <v>-30973.809999999998</v>
      </c>
    </row>
    <row r="7" spans="1:13" ht="12" customHeight="1" x14ac:dyDescent="0.25">
      <c r="A7" s="28">
        <v>10</v>
      </c>
      <c r="B7" s="128"/>
      <c r="C7" s="17" t="s">
        <v>590</v>
      </c>
      <c r="D7" s="129">
        <v>44951</v>
      </c>
      <c r="E7" s="17" t="str">
        <f>VLOOKUP(A7,Base[],2,0)</f>
        <v>3.1.90.13.02 - FGTS</v>
      </c>
      <c r="F7" s="17" t="str">
        <f>VLOOKUP(A7,Base[],3,0)</f>
        <v>CAIXA ECONÔMICA FEDERAL</v>
      </c>
      <c r="G7" s="23">
        <f>VLOOKUP(A7,Base[],4,0)</f>
        <v>0</v>
      </c>
      <c r="H7" s="24" t="str">
        <f>VLOOKUP(A7,Base[],5,0)</f>
        <v>GUIA GRRF</v>
      </c>
      <c r="I7" s="35">
        <f>VLOOKUP(A7,Base[],6,0)</f>
        <v>0</v>
      </c>
      <c r="J7" s="51" t="s">
        <v>654</v>
      </c>
      <c r="K7" s="19"/>
      <c r="L7" s="130">
        <v>757.94</v>
      </c>
      <c r="M7" s="21">
        <f>M6+ExtratoBanco3[[#This Row],[CRÉDITO]]-ExtratoBanco3[[#This Row],[DÉBITO]]</f>
        <v>-31731.749999999996</v>
      </c>
    </row>
    <row r="8" spans="1:13" ht="12" customHeight="1" x14ac:dyDescent="0.25">
      <c r="A8" s="28">
        <v>5</v>
      </c>
      <c r="B8" s="128"/>
      <c r="C8" s="17" t="s">
        <v>590</v>
      </c>
      <c r="D8" s="129">
        <v>44951</v>
      </c>
      <c r="E8" s="17" t="str">
        <f>VLOOKUP(A8,Base[],2,0)</f>
        <v>RESGATE APLICAÇÃO</v>
      </c>
      <c r="F8" s="17" t="str">
        <f>VLOOKUP(A8,Base[],3,0)</f>
        <v>PALCOPARANÁ</v>
      </c>
      <c r="G8" s="23" t="str">
        <f>VLOOKUP(A8,Base[],4,0)</f>
        <v>25.298.788/0001-95</v>
      </c>
      <c r="H8" s="24">
        <f>VLOOKUP(A8,Base[],5,0)</f>
        <v>0</v>
      </c>
      <c r="I8" s="35">
        <f>VLOOKUP(A8,Base[],6,0)</f>
        <v>0</v>
      </c>
      <c r="J8" s="51" t="str">
        <f>VLOOKUP(A8,Base[],7,0)</f>
        <v>RESGATE APLICAÇÃO</v>
      </c>
      <c r="K8" s="19">
        <v>32000</v>
      </c>
      <c r="L8" s="130"/>
      <c r="M8" s="21">
        <f>M7+ExtratoBanco3[[#This Row],[CRÉDITO]]-ExtratoBanco3[[#This Row],[DÉBITO]]</f>
        <v>268.25000000000364</v>
      </c>
    </row>
    <row r="9" spans="1:13" ht="12" customHeight="1" x14ac:dyDescent="0.25">
      <c r="A9" s="28">
        <v>5</v>
      </c>
      <c r="B9" s="128"/>
      <c r="C9" s="17" t="s">
        <v>590</v>
      </c>
      <c r="D9" s="129">
        <v>44951</v>
      </c>
      <c r="E9" s="17" t="str">
        <f>VLOOKUP(A9,Base[],2,0)</f>
        <v>RESGATE APLICAÇÃO</v>
      </c>
      <c r="F9" s="17" t="str">
        <f>VLOOKUP(A9,Base[],3,0)</f>
        <v>PALCOPARANÁ</v>
      </c>
      <c r="G9" s="23" t="str">
        <f>VLOOKUP(A9,Base[],4,0)</f>
        <v>25.298.788/0001-95</v>
      </c>
      <c r="H9" s="24">
        <f>VLOOKUP(A9,Base[],5,0)</f>
        <v>0</v>
      </c>
      <c r="I9" s="35">
        <f>VLOOKUP(A9,Base[],6,0)</f>
        <v>0</v>
      </c>
      <c r="J9" s="51" t="str">
        <f>VLOOKUP(A9,Base[],7,0)</f>
        <v>RESGATE APLICAÇÃO</v>
      </c>
      <c r="K9" s="19">
        <v>10279.68</v>
      </c>
      <c r="L9" s="130"/>
      <c r="M9" s="21">
        <f>M8+ExtratoBanco3[[#This Row],[CRÉDITO]]-ExtratoBanco3[[#This Row],[DÉBITO]]</f>
        <v>10547.930000000004</v>
      </c>
    </row>
    <row r="10" spans="1:13" ht="12" customHeight="1" x14ac:dyDescent="0.25">
      <c r="A10" s="28">
        <v>1</v>
      </c>
      <c r="B10" s="128"/>
      <c r="C10" s="17" t="s">
        <v>590</v>
      </c>
      <c r="D10" s="129">
        <v>44952</v>
      </c>
      <c r="E10" s="17" t="str">
        <f>VLOOKUP(A10,Base[],2,0)</f>
        <v>3.1.90.11.61 - VENCIMENTOS E SALÁRIOS</v>
      </c>
      <c r="F10" s="17" t="s">
        <v>656</v>
      </c>
      <c r="G10" s="23">
        <f>VLOOKUP(A10,Base[],4,0)</f>
        <v>0</v>
      </c>
      <c r="H10" s="24" t="str">
        <f>VLOOKUP(A10,Base[],5,0)</f>
        <v>HOLERITE</v>
      </c>
      <c r="I10" s="35">
        <f>VLOOKUP(A10,Base[],6,0)</f>
        <v>0</v>
      </c>
      <c r="J10" s="51" t="s">
        <v>653</v>
      </c>
      <c r="K10" s="19"/>
      <c r="L10" s="130">
        <v>13675.79</v>
      </c>
      <c r="M10" s="21">
        <f>M9+ExtratoBanco3[[#This Row],[CRÉDITO]]-ExtratoBanco3[[#This Row],[DÉBITO]]</f>
        <v>-3127.8599999999969</v>
      </c>
    </row>
    <row r="11" spans="1:13" ht="12" customHeight="1" x14ac:dyDescent="0.25">
      <c r="A11" s="28">
        <v>5</v>
      </c>
      <c r="B11" s="128"/>
      <c r="C11" s="17" t="s">
        <v>590</v>
      </c>
      <c r="D11" s="129">
        <v>44952</v>
      </c>
      <c r="E11" s="17" t="str">
        <f>VLOOKUP(A11,Base[],2,0)</f>
        <v>RESGATE APLICAÇÃO</v>
      </c>
      <c r="F11" s="17" t="str">
        <f>VLOOKUP(A11,Base[],3,0)</f>
        <v>PALCOPARANÁ</v>
      </c>
      <c r="G11" s="23" t="str">
        <f>VLOOKUP(A11,Base[],4,0)</f>
        <v>25.298.788/0001-95</v>
      </c>
      <c r="H11" s="24">
        <f>VLOOKUP(A11,Base[],5,0)</f>
        <v>0</v>
      </c>
      <c r="I11" s="35">
        <f>VLOOKUP(A11,Base[],6,0)</f>
        <v>0</v>
      </c>
      <c r="J11" s="51" t="str">
        <f>VLOOKUP(A11,Base[],7,0)</f>
        <v>RESGATE APLICAÇÃO</v>
      </c>
      <c r="K11" s="19">
        <v>3500</v>
      </c>
      <c r="L11" s="130"/>
      <c r="M11" s="21">
        <f>M10+ExtratoBanco3[[#This Row],[CRÉDITO]]-ExtratoBanco3[[#This Row],[DÉBITO]]</f>
        <v>372.14000000000306</v>
      </c>
    </row>
    <row r="12" spans="1:13" ht="12" customHeight="1" x14ac:dyDescent="0.25">
      <c r="A12" s="28">
        <v>5</v>
      </c>
      <c r="B12" s="128"/>
      <c r="C12" s="17" t="s">
        <v>590</v>
      </c>
      <c r="D12" s="129">
        <v>44952</v>
      </c>
      <c r="E12" s="17" t="str">
        <f>VLOOKUP(A12,Base[],2,0)</f>
        <v>RESGATE APLICAÇÃO</v>
      </c>
      <c r="F12" s="17" t="str">
        <f>VLOOKUP(A12,Base[],3,0)</f>
        <v>PALCOPARANÁ</v>
      </c>
      <c r="G12" s="23" t="str">
        <f>VLOOKUP(A12,Base[],4,0)</f>
        <v>25.298.788/0001-95</v>
      </c>
      <c r="H12" s="24">
        <f>VLOOKUP(A12,Base[],5,0)</f>
        <v>0</v>
      </c>
      <c r="I12" s="35">
        <f>VLOOKUP(A12,Base[],6,0)</f>
        <v>0</v>
      </c>
      <c r="J12" s="51" t="str">
        <f>VLOOKUP(A12,Base[],7,0)</f>
        <v>RESGATE APLICAÇÃO</v>
      </c>
      <c r="K12" s="19">
        <v>1126.51</v>
      </c>
      <c r="L12" s="130"/>
      <c r="M12" s="21">
        <f>M11+ExtratoBanco3[[#This Row],[CRÉDITO]]-ExtratoBanco3[[#This Row],[DÉBITO]]</f>
        <v>1498.650000000003</v>
      </c>
    </row>
    <row r="13" spans="1:13" ht="12" customHeight="1" x14ac:dyDescent="0.25">
      <c r="A13" s="28">
        <v>15</v>
      </c>
      <c r="B13" s="128"/>
      <c r="C13" s="17" t="s">
        <v>590</v>
      </c>
      <c r="D13" s="129">
        <v>44957</v>
      </c>
      <c r="E13" s="17" t="str">
        <f>VLOOKUP(A13,Base[],2,0)</f>
        <v>3.1.90.11.61 - VENCIMENTOS E SALÁRIOS</v>
      </c>
      <c r="F13" s="17" t="str">
        <f>VLOOKUP(A13,Base[],3,0)</f>
        <v>MINISTÉRIO DA FAZENDA - UNIÃO</v>
      </c>
      <c r="G13" s="23">
        <f>VLOOKUP(A13,Base[],4,0)</f>
        <v>0</v>
      </c>
      <c r="H13" s="24" t="str">
        <f>VLOOKUP(A13,Base[],5,0)</f>
        <v>DARF IRRF</v>
      </c>
      <c r="I13" s="35">
        <f>VLOOKUP(A13,Base[],6,0)</f>
        <v>0</v>
      </c>
      <c r="J13" s="51" t="s">
        <v>657</v>
      </c>
      <c r="K13" s="19"/>
      <c r="L13" s="130">
        <v>332.13</v>
      </c>
      <c r="M13" s="21">
        <f>M12+ExtratoBanco3[[#This Row],[CRÉDITO]]-ExtratoBanco3[[#This Row],[DÉBITO]]</f>
        <v>1166.5200000000032</v>
      </c>
    </row>
    <row r="14" spans="1:13" ht="12" customHeight="1" x14ac:dyDescent="0.25">
      <c r="A14" s="28">
        <v>15</v>
      </c>
      <c r="B14" s="128"/>
      <c r="C14" s="17" t="s">
        <v>590</v>
      </c>
      <c r="D14" s="129">
        <v>44957</v>
      </c>
      <c r="E14" s="17" t="str">
        <f>VLOOKUP(A14,Base[],2,0)</f>
        <v>3.1.90.11.61 - VENCIMENTOS E SALÁRIOS</v>
      </c>
      <c r="F14" s="17" t="str">
        <f>VLOOKUP(A14,Base[],3,0)</f>
        <v>MINISTÉRIO DA FAZENDA - UNIÃO</v>
      </c>
      <c r="G14" s="23">
        <f>VLOOKUP(A14,Base[],4,0)</f>
        <v>0</v>
      </c>
      <c r="H14" s="24" t="str">
        <f>VLOOKUP(A14,Base[],5,0)</f>
        <v>DARF IRRF</v>
      </c>
      <c r="I14" s="35">
        <f>VLOOKUP(A14,Base[],6,0)</f>
        <v>0</v>
      </c>
      <c r="J14" s="51" t="s">
        <v>657</v>
      </c>
      <c r="K14" s="19"/>
      <c r="L14" s="130">
        <v>2046.47</v>
      </c>
      <c r="M14" s="21">
        <f>M13+ExtratoBanco3[[#This Row],[CRÉDITO]]-ExtratoBanco3[[#This Row],[DÉBITO]]</f>
        <v>-879.94999999999686</v>
      </c>
    </row>
    <row r="15" spans="1:13" ht="12" customHeight="1" x14ac:dyDescent="0.25">
      <c r="A15" s="28">
        <v>5</v>
      </c>
      <c r="B15" s="128"/>
      <c r="C15" s="17" t="s">
        <v>590</v>
      </c>
      <c r="D15" s="129">
        <v>44957</v>
      </c>
      <c r="E15" s="17" t="str">
        <f>VLOOKUP(A15,Base[],2,0)</f>
        <v>RESGATE APLICAÇÃO</v>
      </c>
      <c r="F15" s="17" t="str">
        <f>VLOOKUP(A15,Base[],3,0)</f>
        <v>PALCOPARANÁ</v>
      </c>
      <c r="G15" s="23" t="str">
        <f>VLOOKUP(A15,Base[],4,0)</f>
        <v>25.298.788/0001-95</v>
      </c>
      <c r="H15" s="24">
        <f>VLOOKUP(A15,Base[],5,0)</f>
        <v>0</v>
      </c>
      <c r="I15" s="35">
        <f>VLOOKUP(A15,Base[],6,0)</f>
        <v>0</v>
      </c>
      <c r="J15" s="51" t="str">
        <f>VLOOKUP(A15,Base[],7,0)</f>
        <v>RESGATE APLICAÇÃO</v>
      </c>
      <c r="K15" s="19">
        <v>1000</v>
      </c>
      <c r="L15" s="130"/>
      <c r="M15" s="21">
        <f>M14+ExtratoBanco3[[#This Row],[CRÉDITO]]-ExtratoBanco3[[#This Row],[DÉBITO]]</f>
        <v>120.05000000000314</v>
      </c>
    </row>
    <row r="16" spans="1:13" ht="12" customHeight="1" x14ac:dyDescent="0.25">
      <c r="A16" s="28">
        <v>5</v>
      </c>
      <c r="B16" s="128"/>
      <c r="C16" s="17" t="s">
        <v>590</v>
      </c>
      <c r="D16" s="129">
        <v>44957</v>
      </c>
      <c r="E16" s="17" t="str">
        <f>VLOOKUP(A16,Base[],2,0)</f>
        <v>RESGATE APLICAÇÃO</v>
      </c>
      <c r="F16" s="17" t="str">
        <f>VLOOKUP(A16,Base[],3,0)</f>
        <v>PALCOPARANÁ</v>
      </c>
      <c r="G16" s="23" t="str">
        <f>VLOOKUP(A16,Base[],4,0)</f>
        <v>25.298.788/0001-95</v>
      </c>
      <c r="H16" s="24">
        <f>VLOOKUP(A16,Base[],5,0)</f>
        <v>0</v>
      </c>
      <c r="I16" s="35">
        <f>VLOOKUP(A16,Base[],6,0)</f>
        <v>0</v>
      </c>
      <c r="J16" s="51" t="str">
        <f>VLOOKUP(A16,Base[],7,0)</f>
        <v>RESGATE APLICAÇÃO</v>
      </c>
      <c r="K16" s="19">
        <v>323.72000000000003</v>
      </c>
      <c r="L16" s="130"/>
      <c r="M16" s="21">
        <f>M15+ExtratoBanco3[[#This Row],[CRÉDITO]]-ExtratoBanco3[[#This Row],[DÉBITO]]</f>
        <v>443.77000000000317</v>
      </c>
    </row>
    <row r="17" spans="1:13" ht="12" customHeight="1" x14ac:dyDescent="0.25">
      <c r="A17" s="28">
        <v>1</v>
      </c>
      <c r="B17" s="128"/>
      <c r="C17" s="17" t="s">
        <v>590</v>
      </c>
      <c r="D17" s="129">
        <v>44966</v>
      </c>
      <c r="E17" s="17" t="str">
        <f>VLOOKUP(A17,Base[],2,0)</f>
        <v>3.1.90.11.61 - VENCIMENTOS E SALÁRIOS</v>
      </c>
      <c r="F17" s="17" t="s">
        <v>658</v>
      </c>
      <c r="G17" s="23">
        <f>VLOOKUP(A17,Base[],4,0)</f>
        <v>0</v>
      </c>
      <c r="H17" s="24" t="str">
        <f>VLOOKUP(A17,Base[],5,0)</f>
        <v>HOLERITE</v>
      </c>
      <c r="I17" s="35">
        <f>VLOOKUP(A17,Base[],6,0)</f>
        <v>0</v>
      </c>
      <c r="J17" s="51" t="s">
        <v>653</v>
      </c>
      <c r="K17" s="19"/>
      <c r="L17" s="130">
        <v>9382.2900000000009</v>
      </c>
      <c r="M17" s="21">
        <f>M16+ExtratoBanco3[[#This Row],[CRÉDITO]]-ExtratoBanco3[[#This Row],[DÉBITO]]</f>
        <v>-8938.5199999999968</v>
      </c>
    </row>
    <row r="18" spans="1:13" ht="12" customHeight="1" x14ac:dyDescent="0.25">
      <c r="A18" s="28">
        <v>1</v>
      </c>
      <c r="B18" s="128"/>
      <c r="C18" s="17" t="s">
        <v>590</v>
      </c>
      <c r="D18" s="129">
        <v>44966</v>
      </c>
      <c r="E18" s="17" t="str">
        <f>VLOOKUP(A18,Base[],2,0)</f>
        <v>3.1.90.11.61 - VENCIMENTOS E SALÁRIOS</v>
      </c>
      <c r="F18" s="17" t="s">
        <v>659</v>
      </c>
      <c r="G18" s="23">
        <f>VLOOKUP(A18,Base[],4,0)</f>
        <v>0</v>
      </c>
      <c r="H18" s="24" t="str">
        <f>VLOOKUP(A18,Base[],5,0)</f>
        <v>HOLERITE</v>
      </c>
      <c r="I18" s="35">
        <f>VLOOKUP(A18,Base[],6,0)</f>
        <v>0</v>
      </c>
      <c r="J18" s="51" t="s">
        <v>653</v>
      </c>
      <c r="K18" s="19"/>
      <c r="L18" s="130">
        <v>10192.84</v>
      </c>
      <c r="M18" s="21">
        <f>M17+ExtratoBanco3[[#This Row],[CRÉDITO]]-ExtratoBanco3[[#This Row],[DÉBITO]]</f>
        <v>-19131.359999999997</v>
      </c>
    </row>
    <row r="19" spans="1:13" ht="12" customHeight="1" x14ac:dyDescent="0.25">
      <c r="A19" s="28">
        <v>10</v>
      </c>
      <c r="B19" s="128"/>
      <c r="C19" s="17" t="s">
        <v>590</v>
      </c>
      <c r="D19" s="129">
        <v>44966</v>
      </c>
      <c r="E19" s="17" t="str">
        <f>VLOOKUP(A19,Base[],2,0)</f>
        <v>3.1.90.13.02 - FGTS</v>
      </c>
      <c r="F19" s="17" t="str">
        <f>VLOOKUP(A19,Base[],3,0)</f>
        <v>CAIXA ECONÔMICA FEDERAL</v>
      </c>
      <c r="G19" s="23">
        <f>VLOOKUP(A19,Base[],4,0)</f>
        <v>0</v>
      </c>
      <c r="H19" s="24" t="str">
        <f>VLOOKUP(A19,Base[],5,0)</f>
        <v>GUIA GRRF</v>
      </c>
      <c r="I19" s="35">
        <f>VLOOKUP(A19,Base[],6,0)</f>
        <v>0</v>
      </c>
      <c r="J19" s="51" t="s">
        <v>654</v>
      </c>
      <c r="K19" s="19"/>
      <c r="L19" s="130">
        <v>10080.11</v>
      </c>
      <c r="M19" s="21">
        <f>M18+ExtratoBanco3[[#This Row],[CRÉDITO]]-ExtratoBanco3[[#This Row],[DÉBITO]]</f>
        <v>-29211.469999999998</v>
      </c>
    </row>
    <row r="20" spans="1:13" ht="12" customHeight="1" x14ac:dyDescent="0.25">
      <c r="A20" s="28">
        <v>10</v>
      </c>
      <c r="B20" s="128"/>
      <c r="C20" s="17" t="s">
        <v>590</v>
      </c>
      <c r="D20" s="129">
        <v>44966</v>
      </c>
      <c r="E20" s="17" t="str">
        <f>VLOOKUP(A20,Base[],2,0)</f>
        <v>3.1.90.13.02 - FGTS</v>
      </c>
      <c r="F20" s="17" t="str">
        <f>VLOOKUP(A20,Base[],3,0)</f>
        <v>CAIXA ECONÔMICA FEDERAL</v>
      </c>
      <c r="G20" s="23">
        <f>VLOOKUP(A20,Base[],4,0)</f>
        <v>0</v>
      </c>
      <c r="H20" s="24" t="str">
        <f>VLOOKUP(A20,Base[],5,0)</f>
        <v>GUIA GRRF</v>
      </c>
      <c r="I20" s="35">
        <f>VLOOKUP(A20,Base[],6,0)</f>
        <v>0</v>
      </c>
      <c r="J20" s="51" t="s">
        <v>654</v>
      </c>
      <c r="K20" s="19"/>
      <c r="L20" s="130">
        <v>12141.84</v>
      </c>
      <c r="M20" s="21">
        <f>M19+ExtratoBanco3[[#This Row],[CRÉDITO]]-ExtratoBanco3[[#This Row],[DÉBITO]]</f>
        <v>-41353.31</v>
      </c>
    </row>
    <row r="21" spans="1:13" ht="12" customHeight="1" x14ac:dyDescent="0.25">
      <c r="A21" s="28">
        <v>24</v>
      </c>
      <c r="B21" s="128"/>
      <c r="C21" s="17" t="s">
        <v>590</v>
      </c>
      <c r="D21" s="129">
        <v>44966</v>
      </c>
      <c r="E21" s="17" t="str">
        <f>VLOOKUP(A21,Base[],2,0)</f>
        <v>APLICAÇÃO</v>
      </c>
      <c r="F21" s="17" t="str">
        <f>VLOOKUP(A21,Base[],3,0)</f>
        <v>PALCOPARANÁ</v>
      </c>
      <c r="G21" s="23" t="str">
        <f>VLOOKUP(A21,Base[],4,0)</f>
        <v>25.298.788/0001-95</v>
      </c>
      <c r="H21" s="24">
        <f>VLOOKUP(A21,Base[],5,0)</f>
        <v>0</v>
      </c>
      <c r="I21" s="35">
        <f>VLOOKUP(A21,Base[],6,0)</f>
        <v>0</v>
      </c>
      <c r="J21" s="51" t="str">
        <f>VLOOKUP(A21,Base[],7,0)</f>
        <v>APLICAÇÃO CDB-DI</v>
      </c>
      <c r="K21" s="19">
        <v>41500</v>
      </c>
      <c r="L21" s="130"/>
      <c r="M21" s="21">
        <f>M20+ExtratoBanco3[[#This Row],[CRÉDITO]]-ExtratoBanco3[[#This Row],[DÉBITO]]</f>
        <v>146.69000000000233</v>
      </c>
    </row>
    <row r="22" spans="1:13" ht="12" customHeight="1" x14ac:dyDescent="0.25">
      <c r="A22" s="28">
        <v>19</v>
      </c>
      <c r="B22" s="128"/>
      <c r="C22" s="17" t="s">
        <v>590</v>
      </c>
      <c r="D22" s="129">
        <v>44967</v>
      </c>
      <c r="E22" s="17" t="str">
        <f>VLOOKUP(A22,Base[],2,0)</f>
        <v>CRÉDITO</v>
      </c>
      <c r="F22" s="17" t="str">
        <f>VLOOKUP(A22,Base[],3,0)</f>
        <v>PALCOPARANÁ</v>
      </c>
      <c r="G22" s="23" t="str">
        <f>VLOOKUP(A22,Base[],4,0)</f>
        <v>25.298.788/0001-95</v>
      </c>
      <c r="H22" s="24">
        <f>VLOOKUP(A22,Base[],5,0)</f>
        <v>0</v>
      </c>
      <c r="I22" s="35">
        <f>VLOOKUP(A22,Base[],6,0)</f>
        <v>0</v>
      </c>
      <c r="J22" s="51" t="s">
        <v>660</v>
      </c>
      <c r="K22" s="19">
        <v>41060.75</v>
      </c>
      <c r="L22" s="130"/>
      <c r="M22" s="21">
        <f>M21+ExtratoBanco3[[#This Row],[CRÉDITO]]-ExtratoBanco3[[#This Row],[DÉBITO]]</f>
        <v>41207.440000000002</v>
      </c>
    </row>
    <row r="23" spans="1:13" ht="12" customHeight="1" x14ac:dyDescent="0.25">
      <c r="A23" s="28">
        <v>24</v>
      </c>
      <c r="B23" s="128"/>
      <c r="C23" s="17" t="s">
        <v>590</v>
      </c>
      <c r="D23" s="129">
        <v>44967</v>
      </c>
      <c r="E23" s="17" t="str">
        <f>VLOOKUP(A23,Base[],2,0)</f>
        <v>APLICAÇÃO</v>
      </c>
      <c r="F23" s="17" t="str">
        <f>VLOOKUP(A23,Base[],3,0)</f>
        <v>PALCOPARANÁ</v>
      </c>
      <c r="G23" s="23" t="str">
        <f>VLOOKUP(A23,Base[],4,0)</f>
        <v>25.298.788/0001-95</v>
      </c>
      <c r="H23" s="24">
        <f>VLOOKUP(A23,Base[],5,0)</f>
        <v>0</v>
      </c>
      <c r="I23" s="35">
        <f>VLOOKUP(A23,Base[],6,0)</f>
        <v>0</v>
      </c>
      <c r="J23" s="51" t="str">
        <f>VLOOKUP(A23,Base[],7,0)</f>
        <v>APLICAÇÃO CDB-DI</v>
      </c>
      <c r="K23" s="19">
        <v>2661.18</v>
      </c>
      <c r="L23" s="130"/>
      <c r="M23" s="21">
        <f>M22+ExtratoBanco3[[#This Row],[CRÉDITO]]-ExtratoBanco3[[#This Row],[DÉBITO]]</f>
        <v>43868.62</v>
      </c>
    </row>
    <row r="24" spans="1:13" ht="12" customHeight="1" x14ac:dyDescent="0.25">
      <c r="A24" s="28">
        <v>24</v>
      </c>
      <c r="B24" s="128"/>
      <c r="C24" s="17" t="s">
        <v>590</v>
      </c>
      <c r="D24" s="129">
        <v>44967</v>
      </c>
      <c r="E24" s="17" t="str">
        <f>VLOOKUP(A24,Base[],2,0)</f>
        <v>APLICAÇÃO</v>
      </c>
      <c r="F24" s="17" t="str">
        <f>VLOOKUP(A24,Base[],3,0)</f>
        <v>PALCOPARANÁ</v>
      </c>
      <c r="G24" s="23" t="str">
        <f>VLOOKUP(A24,Base[],4,0)</f>
        <v>25.298.788/0001-95</v>
      </c>
      <c r="H24" s="24">
        <f>VLOOKUP(A24,Base[],5,0)</f>
        <v>0</v>
      </c>
      <c r="I24" s="35">
        <f>VLOOKUP(A24,Base[],6,0)</f>
        <v>0</v>
      </c>
      <c r="J24" s="51" t="str">
        <f>VLOOKUP(A24,Base[],7,0)</f>
        <v>APLICAÇÃO CDB-DI</v>
      </c>
      <c r="K24" s="19">
        <v>10825.32</v>
      </c>
      <c r="L24" s="130"/>
      <c r="M24" s="21">
        <f>M23+ExtratoBanco3[[#This Row],[CRÉDITO]]-ExtratoBanco3[[#This Row],[DÉBITO]]</f>
        <v>54693.94</v>
      </c>
    </row>
    <row r="25" spans="1:13" ht="12" customHeight="1" x14ac:dyDescent="0.25">
      <c r="A25" s="28">
        <v>15</v>
      </c>
      <c r="B25" s="128"/>
      <c r="C25" s="17" t="s">
        <v>590</v>
      </c>
      <c r="D25" s="129">
        <v>44974</v>
      </c>
      <c r="E25" s="17" t="str">
        <f>VLOOKUP(A25,Base[],2,0)</f>
        <v>3.1.90.11.61 - VENCIMENTOS E SALÁRIOS</v>
      </c>
      <c r="F25" s="17" t="str">
        <f>VLOOKUP(A25,Base[],3,0)</f>
        <v>MINISTÉRIO DA FAZENDA - UNIÃO</v>
      </c>
      <c r="G25" s="23">
        <f>VLOOKUP(A25,Base[],4,0)</f>
        <v>0</v>
      </c>
      <c r="H25" s="24" t="str">
        <f>VLOOKUP(A25,Base[],5,0)</f>
        <v>DARF IRRF</v>
      </c>
      <c r="I25" s="35">
        <f>VLOOKUP(A25,Base[],6,0)</f>
        <v>0</v>
      </c>
      <c r="J25" s="51" t="s">
        <v>657</v>
      </c>
      <c r="K25" s="19"/>
      <c r="L25" s="130">
        <v>384.16</v>
      </c>
      <c r="M25" s="21">
        <f>M24+ExtratoBanco3[[#This Row],[CRÉDITO]]-ExtratoBanco3[[#This Row],[DÉBITO]]</f>
        <v>54309.78</v>
      </c>
    </row>
    <row r="26" spans="1:13" ht="12" customHeight="1" x14ac:dyDescent="0.25">
      <c r="A26" s="28">
        <v>19</v>
      </c>
      <c r="B26" s="128"/>
      <c r="C26" s="17" t="s">
        <v>590</v>
      </c>
      <c r="D26" s="129">
        <v>44998</v>
      </c>
      <c r="E26" s="17" t="str">
        <f>VLOOKUP(A26,Base[],2,0)</f>
        <v>CRÉDITO</v>
      </c>
      <c r="F26" s="17" t="str">
        <f>VLOOKUP(A26,Base[],3,0)</f>
        <v>PALCOPARANÁ</v>
      </c>
      <c r="G26" s="23" t="str">
        <f>VLOOKUP(A26,Base[],4,0)</f>
        <v>25.298.788/0001-95</v>
      </c>
      <c r="H26" s="24">
        <f>VLOOKUP(A26,Base[],5,0)</f>
        <v>0</v>
      </c>
      <c r="I26" s="35">
        <f>VLOOKUP(A26,Base[],6,0)</f>
        <v>0</v>
      </c>
      <c r="J26" s="51" t="str">
        <f>VLOOKUP(A26,Base[],7,0)</f>
        <v>REPASSE SECRETARIA DA CULTURA - CONTRATO DE GESTÃO</v>
      </c>
      <c r="K26" s="19">
        <v>82121.55</v>
      </c>
      <c r="L26" s="130"/>
      <c r="M26" s="21">
        <f>M25+ExtratoBanco3[[#This Row],[CRÉDITO]]-ExtratoBanco3[[#This Row],[DÉBITO]]</f>
        <v>136431.33000000002</v>
      </c>
    </row>
    <row r="27" spans="1:13" ht="12" customHeight="1" x14ac:dyDescent="0.25">
      <c r="A27" s="28">
        <v>1</v>
      </c>
      <c r="B27" s="128"/>
      <c r="C27" s="17" t="s">
        <v>590</v>
      </c>
      <c r="D27" s="129">
        <v>44998</v>
      </c>
      <c r="E27" s="17" t="str">
        <f>VLOOKUP(A27,Base[],2,0)</f>
        <v>3.1.90.11.61 - VENCIMENTOS E SALÁRIOS</v>
      </c>
      <c r="F27" s="17" t="str">
        <f>VLOOKUP(A27,Base[],3,0)</f>
        <v>COLABORADORES DIVERSOS</v>
      </c>
      <c r="G27" s="23">
        <f>VLOOKUP(A27,Base[],4,0)</f>
        <v>0</v>
      </c>
      <c r="H27" s="24" t="str">
        <f>VLOOKUP(A27,Base[],5,0)</f>
        <v>HOLERITE</v>
      </c>
      <c r="I27" s="35">
        <f>VLOOKUP(A27,Base[],6,0)</f>
        <v>0</v>
      </c>
      <c r="J27" s="51" t="s">
        <v>653</v>
      </c>
      <c r="K27" s="19"/>
      <c r="L27" s="130">
        <v>15447.59</v>
      </c>
      <c r="M27" s="21">
        <f>M26+ExtratoBanco3[[#This Row],[CRÉDITO]]-ExtratoBanco3[[#This Row],[DÉBITO]]</f>
        <v>120983.74000000002</v>
      </c>
    </row>
    <row r="28" spans="1:13" ht="12" customHeight="1" x14ac:dyDescent="0.25">
      <c r="A28" s="28">
        <v>1</v>
      </c>
      <c r="B28" s="128"/>
      <c r="C28" s="17" t="s">
        <v>590</v>
      </c>
      <c r="D28" s="129">
        <v>45000</v>
      </c>
      <c r="E28" s="17" t="str">
        <f>VLOOKUP(A28,Base[],2,0)</f>
        <v>3.1.90.11.61 - VENCIMENTOS E SALÁRIOS</v>
      </c>
      <c r="F28" s="17" t="str">
        <f>VLOOKUP(A28,Base[],3,0)</f>
        <v>COLABORADORES DIVERSOS</v>
      </c>
      <c r="G28" s="23">
        <f>VLOOKUP(A28,Base[],4,0)</f>
        <v>0</v>
      </c>
      <c r="H28" s="24" t="str">
        <f>VLOOKUP(A28,Base[],5,0)</f>
        <v>HOLERITE</v>
      </c>
      <c r="I28" s="35">
        <f>VLOOKUP(A28,Base[],6,0)</f>
        <v>0</v>
      </c>
      <c r="J28" s="51" t="s">
        <v>653</v>
      </c>
      <c r="K28" s="19"/>
      <c r="L28" s="130">
        <v>4353.33</v>
      </c>
      <c r="M28" s="21">
        <f>M27+ExtratoBanco3[[#This Row],[CRÉDITO]]-ExtratoBanco3[[#This Row],[DÉBITO]]</f>
        <v>116630.41000000002</v>
      </c>
    </row>
    <row r="29" spans="1:13" ht="12" customHeight="1" x14ac:dyDescent="0.25">
      <c r="A29" s="28">
        <v>15</v>
      </c>
      <c r="B29" s="128"/>
      <c r="C29" s="17" t="s">
        <v>590</v>
      </c>
      <c r="D29" s="129">
        <v>45016</v>
      </c>
      <c r="E29" s="17" t="str">
        <f>VLOOKUP(A29,Base[],2,0)</f>
        <v>3.1.90.11.61 - VENCIMENTOS E SALÁRIOS</v>
      </c>
      <c r="F29" s="17" t="str">
        <f>VLOOKUP(A29,Base[],3,0)</f>
        <v>MINISTÉRIO DA FAZENDA - UNIÃO</v>
      </c>
      <c r="G29" s="23">
        <f>VLOOKUP(A29,Base[],4,0)</f>
        <v>0</v>
      </c>
      <c r="H29" s="24" t="str">
        <f>VLOOKUP(A29,Base[],5,0)</f>
        <v>DARF IRRF</v>
      </c>
      <c r="I29" s="35">
        <f>VLOOKUP(A29,Base[],6,0)</f>
        <v>0</v>
      </c>
      <c r="J29" s="51" t="s">
        <v>653</v>
      </c>
      <c r="K29" s="19"/>
      <c r="L29" s="130">
        <v>135.66999999999999</v>
      </c>
      <c r="M29" s="21">
        <f>M28+ExtratoBanco3[[#This Row],[CRÉDITO]]-ExtratoBanco3[[#This Row],[DÉBITO]]</f>
        <v>116494.74000000002</v>
      </c>
    </row>
    <row r="30" spans="1:13" ht="12" customHeight="1" x14ac:dyDescent="0.25">
      <c r="A30" s="28">
        <v>15</v>
      </c>
      <c r="B30" s="128"/>
      <c r="C30" s="17" t="s">
        <v>590</v>
      </c>
      <c r="D30" s="129">
        <v>45016</v>
      </c>
      <c r="E30" s="17" t="str">
        <f>VLOOKUP(A30,Base[],2,0)</f>
        <v>3.1.90.11.61 - VENCIMENTOS E SALÁRIOS</v>
      </c>
      <c r="F30" s="17" t="str">
        <f>VLOOKUP(A30,Base[],3,0)</f>
        <v>MINISTÉRIO DA FAZENDA - UNIÃO</v>
      </c>
      <c r="G30" s="23">
        <f>VLOOKUP(A30,Base[],4,0)</f>
        <v>0</v>
      </c>
      <c r="H30" s="24" t="str">
        <f>VLOOKUP(A30,Base[],5,0)</f>
        <v>DARF IRRF</v>
      </c>
      <c r="I30" s="35">
        <f>VLOOKUP(A30,Base[],6,0)</f>
        <v>0</v>
      </c>
      <c r="J30" s="51" t="s">
        <v>653</v>
      </c>
      <c r="K30" s="19"/>
      <c r="L30" s="130">
        <v>583.41999999999996</v>
      </c>
      <c r="M30" s="21">
        <f>M29+ExtratoBanco3[[#This Row],[CRÉDITO]]-ExtratoBanco3[[#This Row],[DÉBITO]]</f>
        <v>115911.32000000002</v>
      </c>
    </row>
    <row r="31" spans="1:13" ht="12" customHeight="1" x14ac:dyDescent="0.25">
      <c r="L31" s="153" t="s">
        <v>661</v>
      </c>
      <c r="M31" s="154">
        <v>115911.32</v>
      </c>
    </row>
    <row r="32" spans="1:13" ht="12" customHeight="1" x14ac:dyDescent="0.25">
      <c r="L32" s="118"/>
      <c r="M32" s="133"/>
    </row>
    <row r="276" spans="15:15" ht="12" customHeight="1" x14ac:dyDescent="0.25">
      <c r="O276" s="155"/>
    </row>
    <row r="286" spans="15:15" ht="12" customHeight="1" x14ac:dyDescent="0.25">
      <c r="O286" s="155"/>
    </row>
    <row r="288" spans="15:15" ht="12" customHeight="1" x14ac:dyDescent="0.25">
      <c r="O288" s="155"/>
    </row>
    <row r="292" spans="15:15" ht="12" customHeight="1" x14ac:dyDescent="0.25">
      <c r="O292" s="155"/>
    </row>
    <row r="293" spans="15:15" ht="12" customHeight="1" x14ac:dyDescent="0.25">
      <c r="O293" s="155"/>
    </row>
    <row r="300" spans="15:15" ht="12" customHeight="1" x14ac:dyDescent="0.25">
      <c r="O300" s="155"/>
    </row>
    <row r="303" spans="15:15" ht="12" customHeight="1" x14ac:dyDescent="0.25">
      <c r="O303" s="156"/>
    </row>
    <row r="304" spans="15:15" ht="12" customHeight="1" x14ac:dyDescent="0.25">
      <c r="O304" s="156"/>
    </row>
    <row r="305" spans="15:15" ht="12" customHeight="1" x14ac:dyDescent="0.25">
      <c r="O305" s="156"/>
    </row>
    <row r="306" spans="15:15" ht="12" customHeight="1" x14ac:dyDescent="0.25">
      <c r="O306" s="156"/>
    </row>
    <row r="307" spans="15:15" ht="12" customHeight="1" x14ac:dyDescent="0.25">
      <c r="O307" s="156"/>
    </row>
    <row r="308" spans="15:15" ht="12" customHeight="1" x14ac:dyDescent="0.25">
      <c r="O308" s="156"/>
    </row>
    <row r="309" spans="15:15" ht="12" customHeight="1" x14ac:dyDescent="0.25">
      <c r="O309" s="156"/>
    </row>
    <row r="310" spans="15:15" ht="12" customHeight="1" x14ac:dyDescent="0.25">
      <c r="O310" s="156"/>
    </row>
    <row r="311" spans="15:15" ht="12" customHeight="1" x14ac:dyDescent="0.25">
      <c r="O311" s="156"/>
    </row>
    <row r="312" spans="15:15" ht="12" customHeight="1" x14ac:dyDescent="0.25">
      <c r="O312" s="156"/>
    </row>
    <row r="313" spans="15:15" ht="12" customHeight="1" x14ac:dyDescent="0.25">
      <c r="O313" s="156"/>
    </row>
    <row r="314" spans="15:15" ht="12" customHeight="1" x14ac:dyDescent="0.25">
      <c r="O314" s="156"/>
    </row>
    <row r="315" spans="15:15" ht="12" customHeight="1" x14ac:dyDescent="0.25">
      <c r="O315" s="156"/>
    </row>
    <row r="316" spans="15:15" ht="12" customHeight="1" x14ac:dyDescent="0.25">
      <c r="O316" s="156"/>
    </row>
    <row r="317" spans="15:15" ht="12" customHeight="1" x14ac:dyDescent="0.25">
      <c r="O317" s="156"/>
    </row>
    <row r="318" spans="15:15" ht="12" customHeight="1" x14ac:dyDescent="0.25">
      <c r="O318" s="156"/>
    </row>
    <row r="319" spans="15:15" ht="12" customHeight="1" x14ac:dyDescent="0.25">
      <c r="O319" s="156"/>
    </row>
    <row r="320" spans="15:15" ht="12" customHeight="1" x14ac:dyDescent="0.25">
      <c r="O320" s="156"/>
    </row>
    <row r="321" spans="15:15" ht="12" customHeight="1" x14ac:dyDescent="0.25">
      <c r="O321" s="156"/>
    </row>
    <row r="322" spans="15:15" ht="12" customHeight="1" x14ac:dyDescent="0.25">
      <c r="O322" s="156"/>
    </row>
    <row r="323" spans="15:15" ht="12" customHeight="1" x14ac:dyDescent="0.25">
      <c r="O323" s="156"/>
    </row>
    <row r="324" spans="15:15" ht="12" customHeight="1" x14ac:dyDescent="0.25">
      <c r="O324" s="156"/>
    </row>
    <row r="325" spans="15:15" ht="12" customHeight="1" x14ac:dyDescent="0.25">
      <c r="O325" s="156"/>
    </row>
    <row r="326" spans="15:15" ht="12" customHeight="1" x14ac:dyDescent="0.25">
      <c r="O326" s="156"/>
    </row>
    <row r="327" spans="15:15" ht="12" customHeight="1" x14ac:dyDescent="0.25">
      <c r="O327" s="156"/>
    </row>
    <row r="328" spans="15:15" ht="12" customHeight="1" x14ac:dyDescent="0.25">
      <c r="O328" s="156"/>
    </row>
    <row r="329" spans="15:15" ht="12" customHeight="1" x14ac:dyDescent="0.25">
      <c r="O329" s="156"/>
    </row>
    <row r="330" spans="15:15" ht="12" customHeight="1" x14ac:dyDescent="0.25">
      <c r="O330" s="156"/>
    </row>
    <row r="331" spans="15:15" ht="12" customHeight="1" x14ac:dyDescent="0.25">
      <c r="O331" s="156"/>
    </row>
    <row r="332" spans="15:15" ht="12" customHeight="1" x14ac:dyDescent="0.25">
      <c r="O332" s="156"/>
    </row>
    <row r="333" spans="15:15" ht="12" customHeight="1" x14ac:dyDescent="0.25">
      <c r="O333" s="156"/>
    </row>
    <row r="334" spans="15:15" ht="12" customHeight="1" x14ac:dyDescent="0.25">
      <c r="O334" s="156"/>
    </row>
    <row r="335" spans="15:15" ht="12" customHeight="1" x14ac:dyDescent="0.25">
      <c r="O335" s="157"/>
    </row>
    <row r="336" spans="15:15" ht="12" customHeight="1" x14ac:dyDescent="0.25">
      <c r="O336" s="157"/>
    </row>
    <row r="337" spans="15:15" ht="12" customHeight="1" x14ac:dyDescent="0.25">
      <c r="O337" s="157"/>
    </row>
    <row r="338" spans="15:15" ht="12" customHeight="1" x14ac:dyDescent="0.25">
      <c r="O338" s="157"/>
    </row>
    <row r="339" spans="15:15" ht="12" customHeight="1" x14ac:dyDescent="0.25">
      <c r="O339" s="157"/>
    </row>
    <row r="340" spans="15:15" ht="12" customHeight="1" x14ac:dyDescent="0.25">
      <c r="O340" s="157"/>
    </row>
    <row r="341" spans="15:15" ht="12" customHeight="1" x14ac:dyDescent="0.25">
      <c r="O341" s="157"/>
    </row>
    <row r="342" spans="15:15" ht="12" customHeight="1" x14ac:dyDescent="0.25">
      <c r="O342" s="157"/>
    </row>
    <row r="343" spans="15:15" ht="12" customHeight="1" x14ac:dyDescent="0.25">
      <c r="O343" s="157"/>
    </row>
    <row r="344" spans="15:15" ht="12" customHeight="1" x14ac:dyDescent="0.25">
      <c r="O344" s="157"/>
    </row>
    <row r="345" spans="15:15" ht="12" customHeight="1" x14ac:dyDescent="0.25">
      <c r="O345" s="157"/>
    </row>
    <row r="346" spans="15:15" ht="12" customHeight="1" x14ac:dyDescent="0.25">
      <c r="O346" s="157"/>
    </row>
    <row r="347" spans="15:15" ht="12" customHeight="1" x14ac:dyDescent="0.25">
      <c r="O347" s="157"/>
    </row>
    <row r="348" spans="15:15" ht="12" customHeight="1" x14ac:dyDescent="0.25">
      <c r="O348" s="157"/>
    </row>
    <row r="349" spans="15:15" ht="12" customHeight="1" x14ac:dyDescent="0.25">
      <c r="O349" s="157"/>
    </row>
    <row r="350" spans="15:15" ht="12" customHeight="1" x14ac:dyDescent="0.25">
      <c r="O350" s="157"/>
    </row>
    <row r="351" spans="15:15" ht="12" customHeight="1" x14ac:dyDescent="0.25">
      <c r="O351" s="157"/>
    </row>
    <row r="352" spans="15:15" ht="12" customHeight="1" x14ac:dyDescent="0.25">
      <c r="O352" s="157"/>
    </row>
    <row r="353" spans="14:15" ht="12" customHeight="1" x14ac:dyDescent="0.25">
      <c r="O353" s="157"/>
    </row>
    <row r="354" spans="14:15" ht="12" customHeight="1" x14ac:dyDescent="0.25">
      <c r="O354" s="157"/>
    </row>
    <row r="355" spans="14:15" ht="12" customHeight="1" x14ac:dyDescent="0.25">
      <c r="O355" s="157"/>
    </row>
    <row r="356" spans="14:15" ht="12" customHeight="1" x14ac:dyDescent="0.25">
      <c r="O356" s="157"/>
    </row>
    <row r="357" spans="14:15" ht="12" customHeight="1" x14ac:dyDescent="0.25">
      <c r="O357" s="157"/>
    </row>
    <row r="358" spans="14:15" ht="12" customHeight="1" x14ac:dyDescent="0.25">
      <c r="O358" s="157"/>
    </row>
    <row r="359" spans="14:15" ht="12" customHeight="1" x14ac:dyDescent="0.25">
      <c r="O359" s="157"/>
    </row>
    <row r="360" spans="14:15" ht="12" customHeight="1" x14ac:dyDescent="0.25">
      <c r="N360" s="158"/>
      <c r="O360" s="157"/>
    </row>
    <row r="361" spans="14:15" ht="12" customHeight="1" x14ac:dyDescent="0.25">
      <c r="N361" s="158"/>
      <c r="O361" s="157"/>
    </row>
    <row r="362" spans="14:15" ht="12" customHeight="1" x14ac:dyDescent="0.25">
      <c r="N362" s="158"/>
      <c r="O362" s="157"/>
    </row>
    <row r="363" spans="14:15" ht="12" customHeight="1" x14ac:dyDescent="0.25">
      <c r="N363" s="158"/>
      <c r="O363" s="157"/>
    </row>
    <row r="364" spans="14:15" ht="12" customHeight="1" x14ac:dyDescent="0.25">
      <c r="N364" s="158"/>
      <c r="O364" s="157"/>
    </row>
    <row r="365" spans="14:15" ht="12" customHeight="1" x14ac:dyDescent="0.25">
      <c r="O365" s="157"/>
    </row>
    <row r="366" spans="14:15" ht="12" customHeight="1" x14ac:dyDescent="0.25">
      <c r="O366" s="157"/>
    </row>
    <row r="367" spans="14:15" ht="12" customHeight="1" x14ac:dyDescent="0.25">
      <c r="O367" s="157"/>
    </row>
    <row r="368" spans="14:15" ht="12" customHeight="1" x14ac:dyDescent="0.25">
      <c r="O368" s="157"/>
    </row>
    <row r="369" spans="14:15" ht="12" customHeight="1" x14ac:dyDescent="0.25">
      <c r="O369" s="157"/>
    </row>
    <row r="370" spans="14:15" ht="12" customHeight="1" x14ac:dyDescent="0.25">
      <c r="N370" s="158"/>
      <c r="O370" s="157"/>
    </row>
    <row r="371" spans="14:15" ht="12" customHeight="1" x14ac:dyDescent="0.25">
      <c r="O371" s="157"/>
    </row>
    <row r="372" spans="14:15" ht="12" customHeight="1" x14ac:dyDescent="0.25">
      <c r="O372" s="157"/>
    </row>
    <row r="373" spans="14:15" ht="12" customHeight="1" x14ac:dyDescent="0.25">
      <c r="O373" s="157"/>
    </row>
    <row r="374" spans="14:15" ht="12" customHeight="1" x14ac:dyDescent="0.25">
      <c r="O374" s="157"/>
    </row>
    <row r="375" spans="14:15" ht="12" customHeight="1" x14ac:dyDescent="0.25">
      <c r="O375" s="157"/>
    </row>
    <row r="376" spans="14:15" ht="12" customHeight="1" x14ac:dyDescent="0.25">
      <c r="O376" s="157"/>
    </row>
    <row r="377" spans="14:15" ht="12" customHeight="1" x14ac:dyDescent="0.25">
      <c r="O377" s="157"/>
    </row>
    <row r="378" spans="14:15" ht="12" customHeight="1" x14ac:dyDescent="0.25">
      <c r="O378" s="157"/>
    </row>
    <row r="379" spans="14:15" ht="12" customHeight="1" x14ac:dyDescent="0.25">
      <c r="O379" s="157"/>
    </row>
    <row r="380" spans="14:15" ht="12" customHeight="1" x14ac:dyDescent="0.25">
      <c r="O380" s="157"/>
    </row>
    <row r="381" spans="14:15" ht="12" customHeight="1" x14ac:dyDescent="0.25">
      <c r="O381" s="157"/>
    </row>
    <row r="382" spans="14:15" ht="12" customHeight="1" x14ac:dyDescent="0.25">
      <c r="O382" s="157"/>
    </row>
    <row r="383" spans="14:15" ht="12" customHeight="1" x14ac:dyDescent="0.25">
      <c r="O383" s="157"/>
    </row>
    <row r="384" spans="14:15" ht="12" customHeight="1" x14ac:dyDescent="0.25">
      <c r="O384" s="157"/>
    </row>
    <row r="385" spans="15:15" ht="12" customHeight="1" x14ac:dyDescent="0.25">
      <c r="O385" s="157"/>
    </row>
    <row r="386" spans="15:15" ht="12" customHeight="1" x14ac:dyDescent="0.25">
      <c r="O386" s="157"/>
    </row>
    <row r="387" spans="15:15" ht="12" customHeight="1" x14ac:dyDescent="0.25">
      <c r="O387" s="157"/>
    </row>
    <row r="388" spans="15:15" ht="12" customHeight="1" x14ac:dyDescent="0.25">
      <c r="O388" s="157"/>
    </row>
    <row r="389" spans="15:15" ht="12" customHeight="1" x14ac:dyDescent="0.25">
      <c r="O389" s="157"/>
    </row>
    <row r="390" spans="15:15" ht="12" customHeight="1" x14ac:dyDescent="0.25">
      <c r="O390" s="157"/>
    </row>
    <row r="391" spans="15:15" ht="12" customHeight="1" x14ac:dyDescent="0.25">
      <c r="O391" s="157"/>
    </row>
    <row r="392" spans="15:15" ht="12" customHeight="1" x14ac:dyDescent="0.25">
      <c r="O392" s="157"/>
    </row>
    <row r="393" spans="15:15" ht="12" customHeight="1" x14ac:dyDescent="0.25">
      <c r="O393" s="159"/>
    </row>
    <row r="394" spans="15:15" ht="12" customHeight="1" x14ac:dyDescent="0.25">
      <c r="O394" s="157"/>
    </row>
    <row r="395" spans="15:15" ht="12" customHeight="1" x14ac:dyDescent="0.25">
      <c r="O395" s="157"/>
    </row>
    <row r="396" spans="15:15" ht="12" customHeight="1" x14ac:dyDescent="0.25">
      <c r="O396" s="157"/>
    </row>
    <row r="397" spans="15:15" ht="12" customHeight="1" x14ac:dyDescent="0.25">
      <c r="O397" s="157"/>
    </row>
    <row r="398" spans="15:15" ht="12" customHeight="1" x14ac:dyDescent="0.25">
      <c r="O398" s="157"/>
    </row>
    <row r="399" spans="15:15" ht="12" customHeight="1" x14ac:dyDescent="0.25">
      <c r="O399" s="157"/>
    </row>
    <row r="400" spans="15:15" ht="12" customHeight="1" x14ac:dyDescent="0.25">
      <c r="O400" s="157"/>
    </row>
    <row r="401" spans="15:15" ht="12" customHeight="1" x14ac:dyDescent="0.25">
      <c r="O401" s="157"/>
    </row>
    <row r="402" spans="15:15" ht="12" customHeight="1" x14ac:dyDescent="0.25">
      <c r="O402" s="157"/>
    </row>
    <row r="403" spans="15:15" ht="12" customHeight="1" x14ac:dyDescent="0.25">
      <c r="O403" s="157"/>
    </row>
    <row r="404" spans="15:15" ht="12" customHeight="1" x14ac:dyDescent="0.25">
      <c r="O404" s="157"/>
    </row>
    <row r="405" spans="15:15" ht="12" customHeight="1" x14ac:dyDescent="0.25">
      <c r="O405" s="160">
        <v>1</v>
      </c>
    </row>
    <row r="406" spans="15:15" ht="12" customHeight="1" x14ac:dyDescent="0.25">
      <c r="O406" s="160"/>
    </row>
    <row r="407" spans="15:15" ht="12" customHeight="1" x14ac:dyDescent="0.25">
      <c r="O407" s="160"/>
    </row>
    <row r="408" spans="15:15" ht="12" customHeight="1" x14ac:dyDescent="0.25">
      <c r="O408" s="160"/>
    </row>
    <row r="409" spans="15:15" ht="12" customHeight="1" x14ac:dyDescent="0.25">
      <c r="O409" s="160">
        <v>2</v>
      </c>
    </row>
    <row r="410" spans="15:15" ht="12" customHeight="1" x14ac:dyDescent="0.25">
      <c r="O410" s="160">
        <v>3</v>
      </c>
    </row>
    <row r="411" spans="15:15" ht="12" customHeight="1" x14ac:dyDescent="0.25">
      <c r="O411" s="160">
        <v>4</v>
      </c>
    </row>
    <row r="412" spans="15:15" ht="12" customHeight="1" x14ac:dyDescent="0.25">
      <c r="O412" s="160">
        <v>5</v>
      </c>
    </row>
    <row r="413" spans="15:15" ht="12" customHeight="1" x14ac:dyDescent="0.25">
      <c r="O413" s="160"/>
    </row>
    <row r="414" spans="15:15" ht="12" customHeight="1" x14ac:dyDescent="0.25">
      <c r="O414" s="160"/>
    </row>
    <row r="415" spans="15:15" ht="12" customHeight="1" x14ac:dyDescent="0.25">
      <c r="O415" s="160">
        <v>6</v>
      </c>
    </row>
    <row r="416" spans="15:15" ht="12" customHeight="1" x14ac:dyDescent="0.25">
      <c r="O416" s="160"/>
    </row>
    <row r="417" spans="15:15" ht="12" customHeight="1" x14ac:dyDescent="0.25">
      <c r="O417" s="160"/>
    </row>
    <row r="418" spans="15:15" ht="12" customHeight="1" x14ac:dyDescent="0.25">
      <c r="O418" s="160">
        <v>7</v>
      </c>
    </row>
    <row r="419" spans="15:15" ht="12" customHeight="1" x14ac:dyDescent="0.25">
      <c r="O419" s="160">
        <v>8</v>
      </c>
    </row>
    <row r="420" spans="15:15" ht="12" customHeight="1" x14ac:dyDescent="0.25">
      <c r="O420" s="160">
        <v>9</v>
      </c>
    </row>
    <row r="421" spans="15:15" ht="12" customHeight="1" x14ac:dyDescent="0.25">
      <c r="O421" s="160">
        <v>10</v>
      </c>
    </row>
    <row r="422" spans="15:15" ht="12" customHeight="1" x14ac:dyDescent="0.25">
      <c r="O422" s="160"/>
    </row>
    <row r="423" spans="15:15" ht="12" customHeight="1" x14ac:dyDescent="0.25">
      <c r="O423" s="160"/>
    </row>
    <row r="424" spans="15:15" ht="12" customHeight="1" x14ac:dyDescent="0.25">
      <c r="O424" s="160">
        <v>11</v>
      </c>
    </row>
    <row r="425" spans="15:15" ht="12" customHeight="1" x14ac:dyDescent="0.25">
      <c r="O425" s="160">
        <v>12</v>
      </c>
    </row>
    <row r="426" spans="15:15" ht="12" customHeight="1" x14ac:dyDescent="0.25">
      <c r="O426" s="157"/>
    </row>
    <row r="427" spans="15:15" ht="12" customHeight="1" x14ac:dyDescent="0.25">
      <c r="O427" s="157"/>
    </row>
    <row r="428" spans="15:15" ht="12" customHeight="1" x14ac:dyDescent="0.25">
      <c r="O428" s="157"/>
    </row>
    <row r="429" spans="15:15" ht="12" customHeight="1" x14ac:dyDescent="0.25">
      <c r="O429" s="157"/>
    </row>
    <row r="430" spans="15:15" ht="12" customHeight="1" x14ac:dyDescent="0.25">
      <c r="O430" s="161"/>
    </row>
    <row r="431" spans="15:15" ht="12" customHeight="1" x14ac:dyDescent="0.25">
      <c r="O431" s="161"/>
    </row>
    <row r="432" spans="15:15" ht="12" customHeight="1" x14ac:dyDescent="0.25">
      <c r="O432" s="161"/>
    </row>
    <row r="433" spans="15:15" ht="12" customHeight="1" x14ac:dyDescent="0.25">
      <c r="O433" s="161"/>
    </row>
  </sheetData>
  <conditionalFormatting sqref="A1:A30">
    <cfRule type="cellIs" dxfId="33" priority="5" operator="between">
      <formula>1</formula>
      <formula>4</formula>
    </cfRule>
    <cfRule type="cellIs" dxfId="32" priority="6" operator="between">
      <formula>6</formula>
      <formula>18</formula>
    </cfRule>
    <cfRule type="cellIs" dxfId="31" priority="7" operator="between">
      <formula>20</formula>
      <formula>23</formula>
    </cfRule>
    <cfRule type="cellIs" dxfId="30" priority="8" operator="equal">
      <formula>5</formula>
    </cfRule>
    <cfRule type="cellIs" dxfId="29" priority="9" operator="equal">
      <formula>19</formula>
    </cfRule>
    <cfRule type="cellIs" dxfId="28" priority="10" operator="equal">
      <formula>24</formula>
    </cfRule>
    <cfRule type="cellIs" dxfId="27" priority="11" operator="between">
      <formula>25</formula>
      <formula>50</formula>
    </cfRule>
    <cfRule type="cellIs" dxfId="26" priority="12" operator="equal">
      <formula>51</formula>
    </cfRule>
    <cfRule type="cellIs" dxfId="25" priority="13" operator="greaterThanOrEqual">
      <formula>52</formula>
    </cfRule>
  </conditionalFormatting>
  <conditionalFormatting sqref="M2:M30">
    <cfRule type="cellIs" dxfId="24" priority="4" operator="greaterThanOrEqual">
      <formula>0</formula>
    </cfRule>
  </conditionalFormatting>
  <conditionalFormatting sqref="M31">
    <cfRule type="cellIs" dxfId="23" priority="3" operator="greaterThanOrEqual">
      <formula>0</formula>
    </cfRule>
  </conditionalFormatting>
  <conditionalFormatting sqref="O303:O334">
    <cfRule type="cellIs" dxfId="22" priority="2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G28"/>
  <sheetViews>
    <sheetView showGridLines="0" zoomScaleNormal="100" workbookViewId="0"/>
  </sheetViews>
  <sheetFormatPr defaultColWidth="8.7109375"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customWidth="1"/>
  </cols>
  <sheetData>
    <row r="6" spans="2:6" ht="21.75" customHeight="1" x14ac:dyDescent="0.25">
      <c r="B6" s="162" t="s">
        <v>662</v>
      </c>
      <c r="C6" s="162" t="s">
        <v>663</v>
      </c>
      <c r="D6" s="162"/>
      <c r="E6" s="162"/>
      <c r="F6" s="162"/>
    </row>
    <row r="7" spans="2:6" ht="9" customHeight="1" x14ac:dyDescent="0.25"/>
    <row r="8" spans="2:6" x14ac:dyDescent="0.25">
      <c r="B8" s="3" t="s">
        <v>664</v>
      </c>
      <c r="C8" s="3"/>
      <c r="D8" s="3"/>
      <c r="E8" s="163">
        <v>42166.16</v>
      </c>
    </row>
    <row r="9" spans="2:6" x14ac:dyDescent="0.25">
      <c r="B9" s="164" t="s">
        <v>665</v>
      </c>
      <c r="C9" s="164"/>
      <c r="D9" s="164"/>
      <c r="E9" s="163">
        <v>875</v>
      </c>
    </row>
    <row r="10" spans="2:6" x14ac:dyDescent="0.25">
      <c r="B10" s="164" t="s">
        <v>666</v>
      </c>
      <c r="C10" s="164"/>
      <c r="D10" s="164"/>
      <c r="E10" s="163">
        <v>8000</v>
      </c>
    </row>
    <row r="11" spans="2:6" x14ac:dyDescent="0.25">
      <c r="B11" s="165"/>
      <c r="C11" s="165"/>
      <c r="D11" s="165"/>
      <c r="E11" s="166">
        <f>SUM(E8:E10)</f>
        <v>51041.16</v>
      </c>
    </row>
    <row r="12" spans="2:6" x14ac:dyDescent="0.25">
      <c r="B12" s="165"/>
      <c r="C12" s="165"/>
      <c r="D12" s="165"/>
      <c r="E12" s="167"/>
    </row>
    <row r="13" spans="2:6" x14ac:dyDescent="0.25">
      <c r="B13" s="3" t="s">
        <v>667</v>
      </c>
      <c r="C13" s="3"/>
      <c r="D13" s="3"/>
      <c r="E13" s="163">
        <f>(11447.75*2)+2780+2635</f>
        <v>28310.5</v>
      </c>
    </row>
    <row r="14" spans="2:6" x14ac:dyDescent="0.25">
      <c r="E14" s="168">
        <f>E13</f>
        <v>28310.5</v>
      </c>
    </row>
    <row r="16" spans="2:6" x14ac:dyDescent="0.25">
      <c r="B16" s="2" t="s">
        <v>668</v>
      </c>
      <c r="C16" s="2"/>
      <c r="D16" s="2"/>
      <c r="E16" s="163">
        <v>11000</v>
      </c>
    </row>
    <row r="17" spans="2:7" x14ac:dyDescent="0.25">
      <c r="B17" s="169" t="s">
        <v>669</v>
      </c>
      <c r="C17" s="170"/>
      <c r="D17" s="171"/>
      <c r="E17" s="163">
        <v>6000</v>
      </c>
    </row>
    <row r="18" spans="2:7" x14ac:dyDescent="0.25">
      <c r="E18" s="168">
        <f>SUM(E16:E17)</f>
        <v>17000</v>
      </c>
    </row>
    <row r="20" spans="2:7" x14ac:dyDescent="0.25">
      <c r="B20" s="1" t="s">
        <v>670</v>
      </c>
      <c r="C20" s="1"/>
      <c r="D20" s="1"/>
      <c r="E20" s="172">
        <f>E11-E14-E18</f>
        <v>5730.6600000000035</v>
      </c>
    </row>
    <row r="21" spans="2:7" x14ac:dyDescent="0.25">
      <c r="D21" s="140"/>
      <c r="G21" s="140"/>
    </row>
    <row r="22" spans="2:7" x14ac:dyDescent="0.25">
      <c r="D22" s="140"/>
      <c r="E22" s="173"/>
      <c r="G22" s="140"/>
    </row>
    <row r="23" spans="2:7" x14ac:dyDescent="0.25">
      <c r="D23" s="140"/>
      <c r="E23" s="173"/>
      <c r="G23" s="140"/>
    </row>
    <row r="24" spans="2:7" x14ac:dyDescent="0.25">
      <c r="D24" s="140"/>
      <c r="E24" s="173"/>
      <c r="G24" s="140"/>
    </row>
    <row r="25" spans="2:7" x14ac:dyDescent="0.25">
      <c r="D25" s="140"/>
      <c r="E25" s="173"/>
      <c r="G25" s="140"/>
    </row>
    <row r="28" spans="2:7" x14ac:dyDescent="0.25">
      <c r="F28" s="174"/>
    </row>
  </sheetData>
  <mergeCells count="4">
    <mergeCell ref="B8:D8"/>
    <mergeCell ref="B13:D13"/>
    <mergeCell ref="B16:D16"/>
    <mergeCell ref="B20:D20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4"/>
  <sheetViews>
    <sheetView showGridLines="0" zoomScaleNormal="100" workbookViewId="0"/>
  </sheetViews>
  <sheetFormatPr defaultColWidth="9.140625" defaultRowHeight="15" x14ac:dyDescent="0.25"/>
  <cols>
    <col min="1" max="1" width="7.140625" style="140" customWidth="1"/>
    <col min="2" max="2" width="11.28515625" style="140" customWidth="1"/>
    <col min="3" max="3" width="12.85546875" style="140" customWidth="1"/>
    <col min="4" max="4" width="9.85546875" style="140" customWidth="1"/>
    <col min="5" max="5" width="40.28515625" style="140" customWidth="1"/>
    <col min="6" max="6" width="23.7109375" style="140" customWidth="1"/>
    <col min="7" max="7" width="16.140625" style="140" customWidth="1"/>
    <col min="8" max="8" width="15.42578125" style="140" customWidth="1"/>
    <col min="9" max="9" width="9.85546875" style="141" customWidth="1"/>
    <col min="10" max="10" width="40.28515625" style="6" customWidth="1"/>
    <col min="11" max="11" width="13.28515625" style="140" customWidth="1"/>
    <col min="12" max="12" width="12.7109375" style="142" customWidth="1"/>
    <col min="13" max="13" width="12.7109375" style="140" customWidth="1"/>
    <col min="14" max="14" width="4" style="140" customWidth="1"/>
    <col min="15" max="15" width="5.42578125" style="140" customWidth="1"/>
    <col min="16" max="16384" width="9.140625" style="140"/>
  </cols>
  <sheetData>
    <row r="1" spans="1:17" ht="12" customHeight="1" x14ac:dyDescent="0.25">
      <c r="A1" s="144" t="s">
        <v>0</v>
      </c>
      <c r="B1" s="145" t="s">
        <v>595</v>
      </c>
      <c r="C1" s="145" t="s">
        <v>587</v>
      </c>
      <c r="D1" s="145" t="s">
        <v>1</v>
      </c>
      <c r="E1" s="146" t="s">
        <v>2</v>
      </c>
      <c r="F1" s="146" t="s">
        <v>3</v>
      </c>
      <c r="G1" s="145" t="s">
        <v>4</v>
      </c>
      <c r="H1" s="145" t="s">
        <v>5</v>
      </c>
      <c r="I1" s="147" t="s">
        <v>6</v>
      </c>
      <c r="J1" s="148" t="s">
        <v>7</v>
      </c>
      <c r="K1" s="149" t="s">
        <v>8</v>
      </c>
      <c r="L1" s="150" t="s">
        <v>9</v>
      </c>
      <c r="M1" s="151" t="s">
        <v>10</v>
      </c>
    </row>
    <row r="2" spans="1:17" ht="12" customHeight="1" x14ac:dyDescent="0.25">
      <c r="A2" s="152">
        <v>19</v>
      </c>
      <c r="B2" s="128"/>
      <c r="C2" s="17" t="s">
        <v>590</v>
      </c>
      <c r="D2" s="129">
        <v>44764</v>
      </c>
      <c r="E2" s="17" t="str">
        <f>VLOOKUP(A2,Base[],2,0)</f>
        <v>CRÉDITO</v>
      </c>
      <c r="F2" s="17" t="str">
        <f>VLOOKUP(A2,Base[],3,0)</f>
        <v>PALCOPARANÁ</v>
      </c>
      <c r="G2" s="17" t="str">
        <f>VLOOKUP(A2,Base[],4,0)</f>
        <v>25.298.788/0001-95</v>
      </c>
      <c r="H2" s="17">
        <f>VLOOKUP(A2,Base[],5,0)</f>
        <v>0</v>
      </c>
      <c r="I2" s="17">
        <f>VLOOKUP(A2,Base[],6,0)</f>
        <v>0</v>
      </c>
      <c r="J2" s="51" t="s">
        <v>671</v>
      </c>
      <c r="K2" s="19">
        <v>1576828</v>
      </c>
      <c r="L2" s="130"/>
      <c r="M2" s="21">
        <f>ExtratoBanco36[[#This Row],[CRÉDITO]]</f>
        <v>1576828</v>
      </c>
    </row>
    <row r="3" spans="1:17" ht="12" customHeight="1" x14ac:dyDescent="0.25">
      <c r="A3" s="28">
        <v>29</v>
      </c>
      <c r="B3" s="128"/>
      <c r="C3" s="17" t="s">
        <v>590</v>
      </c>
      <c r="D3" s="129">
        <v>44771</v>
      </c>
      <c r="E3" s="17" t="str">
        <f>VLOOKUP(A3,Base[],2,0)</f>
        <v>3.3.90.36.06 - SERVIÇOS TÉCNICOS PROFISSIONAIS</v>
      </c>
      <c r="F3" s="17" t="s">
        <v>672</v>
      </c>
      <c r="G3" s="17" t="s">
        <v>673</v>
      </c>
      <c r="H3" s="17" t="str">
        <f>VLOOKUP(A3,Base[],5,0)</f>
        <v>RPA</v>
      </c>
      <c r="I3" s="17">
        <f>VLOOKUP(A3,Base[],6,0)</f>
        <v>0</v>
      </c>
      <c r="J3" s="51" t="s">
        <v>674</v>
      </c>
      <c r="K3" s="19"/>
      <c r="L3" s="130">
        <v>75031.199999999997</v>
      </c>
      <c r="M3" s="21">
        <f>M2+ExtratoBanco36[[#This Row],[CRÉDITO]]-ExtratoBanco36[[#This Row],[DÉBITO]]</f>
        <v>1501796.8</v>
      </c>
    </row>
    <row r="4" spans="1:17" ht="12" customHeight="1" x14ac:dyDescent="0.25">
      <c r="A4" s="28">
        <v>29</v>
      </c>
      <c r="B4" s="128"/>
      <c r="C4" s="17" t="s">
        <v>590</v>
      </c>
      <c r="D4" s="129">
        <v>44771</v>
      </c>
      <c r="E4" s="17" t="str">
        <f>VLOOKUP(A4,Base[],2,0)</f>
        <v>3.3.90.36.06 - SERVIÇOS TÉCNICOS PROFISSIONAIS</v>
      </c>
      <c r="F4" s="17" t="s">
        <v>675</v>
      </c>
      <c r="G4" s="17" t="s">
        <v>676</v>
      </c>
      <c r="H4" s="17" t="str">
        <f>VLOOKUP(A4,Base[],5,0)</f>
        <v>RPA</v>
      </c>
      <c r="I4" s="17">
        <f>VLOOKUP(A4,Base[],6,0)</f>
        <v>0</v>
      </c>
      <c r="J4" s="51" t="s">
        <v>677</v>
      </c>
      <c r="K4" s="19"/>
      <c r="L4" s="130">
        <v>83237.8</v>
      </c>
      <c r="M4" s="21">
        <f>M3+ExtratoBanco36[[#This Row],[CRÉDITO]]-ExtratoBanco36[[#This Row],[DÉBITO]]</f>
        <v>1418559</v>
      </c>
    </row>
    <row r="5" spans="1:17" ht="12" customHeight="1" x14ac:dyDescent="0.25">
      <c r="A5" s="28">
        <v>29</v>
      </c>
      <c r="B5" s="128"/>
      <c r="C5" s="17" t="s">
        <v>590</v>
      </c>
      <c r="D5" s="129">
        <v>44771</v>
      </c>
      <c r="E5" s="17" t="str">
        <f>VLOOKUP(A5,Base[],2,0)</f>
        <v>3.3.90.36.06 - SERVIÇOS TÉCNICOS PROFISSIONAIS</v>
      </c>
      <c r="F5" s="17" t="s">
        <v>675</v>
      </c>
      <c r="G5" s="17" t="s">
        <v>676</v>
      </c>
      <c r="H5" s="17" t="str">
        <f>VLOOKUP(A5,Base[],5,0)</f>
        <v>RPA</v>
      </c>
      <c r="I5" s="17">
        <f>VLOOKUP(A5,Base[],6,0)</f>
        <v>0</v>
      </c>
      <c r="J5" s="51" t="s">
        <v>677</v>
      </c>
      <c r="K5" s="19"/>
      <c r="L5" s="130">
        <v>71514.2</v>
      </c>
      <c r="M5" s="21">
        <f>M4+ExtratoBanco36[[#This Row],[CRÉDITO]]-ExtratoBanco36[[#This Row],[DÉBITO]]</f>
        <v>1347044.8</v>
      </c>
    </row>
    <row r="6" spans="1:17" ht="12" customHeight="1" x14ac:dyDescent="0.25">
      <c r="A6" s="28">
        <v>29</v>
      </c>
      <c r="B6" s="128"/>
      <c r="C6" s="17" t="s">
        <v>590</v>
      </c>
      <c r="D6" s="129">
        <v>44771</v>
      </c>
      <c r="E6" s="17" t="str">
        <f>VLOOKUP(A6,Base[],2,0)</f>
        <v>3.3.90.36.06 - SERVIÇOS TÉCNICOS PROFISSIONAIS</v>
      </c>
      <c r="F6" s="51" t="s">
        <v>678</v>
      </c>
      <c r="G6" s="17" t="s">
        <v>679</v>
      </c>
      <c r="H6" s="17" t="str">
        <f>VLOOKUP(A6,Base[],5,0)</f>
        <v>RPA</v>
      </c>
      <c r="I6" s="17">
        <f>VLOOKUP(A6,Base[],6,0)</f>
        <v>0</v>
      </c>
      <c r="J6" s="51" t="s">
        <v>680</v>
      </c>
      <c r="K6" s="19"/>
      <c r="L6" s="130">
        <v>85582.399999999994</v>
      </c>
      <c r="M6" s="21">
        <f>M5+ExtratoBanco36[[#This Row],[CRÉDITO]]-ExtratoBanco36[[#This Row],[DÉBITO]]</f>
        <v>1261462.4000000001</v>
      </c>
    </row>
    <row r="7" spans="1:17" ht="12" customHeight="1" x14ac:dyDescent="0.25">
      <c r="A7" s="13">
        <v>14</v>
      </c>
      <c r="B7" s="128"/>
      <c r="C7" s="17" t="s">
        <v>590</v>
      </c>
      <c r="D7" s="129">
        <v>44771</v>
      </c>
      <c r="E7" s="17" t="str">
        <f>VLOOKUP(A7,Base[],2,0)</f>
        <v>3.3.90.39.39 - ENCARGOS FINANCEIROS INDEDUTÍVEIS</v>
      </c>
      <c r="F7" s="17" t="str">
        <f>VLOOKUP(A7,Base[],3,0)</f>
        <v>BANCO DO BRASIL</v>
      </c>
      <c r="G7" s="17">
        <f>VLOOKUP(A7,Base[],4,0)</f>
        <v>191</v>
      </c>
      <c r="H7" s="17" t="str">
        <f>VLOOKUP(A7,Base[],5,0)</f>
        <v>AVISO DE DÉBITO</v>
      </c>
      <c r="I7" s="17">
        <f>VLOOKUP(A7,Base[],6,0)</f>
        <v>0</v>
      </c>
      <c r="J7" s="51" t="str">
        <f>VLOOKUP(A7,Base[],7,0)</f>
        <v>TARIFA BANCÁRIA</v>
      </c>
      <c r="K7" s="19"/>
      <c r="L7" s="130">
        <v>1.3</v>
      </c>
      <c r="M7" s="21">
        <f>M6+ExtratoBanco36[[#This Row],[CRÉDITO]]-ExtratoBanco36[[#This Row],[DÉBITO]]</f>
        <v>1261461.1000000001</v>
      </c>
    </row>
    <row r="8" spans="1:17" ht="12" customHeight="1" x14ac:dyDescent="0.25">
      <c r="A8" s="28">
        <v>14</v>
      </c>
      <c r="B8" s="128"/>
      <c r="C8" s="17" t="s">
        <v>590</v>
      </c>
      <c r="D8" s="129">
        <v>44771</v>
      </c>
      <c r="E8" s="17" t="str">
        <f>VLOOKUP(A8,Base[],2,0)</f>
        <v>3.3.90.39.39 - ENCARGOS FINANCEIROS INDEDUTÍVEIS</v>
      </c>
      <c r="F8" s="17" t="str">
        <f>VLOOKUP(A8,Base[],3,0)</f>
        <v>BANCO DO BRASIL</v>
      </c>
      <c r="G8" s="17">
        <f>VLOOKUP(A8,Base[],4,0)</f>
        <v>191</v>
      </c>
      <c r="H8" s="17" t="str">
        <f>VLOOKUP(A8,Base[],5,0)</f>
        <v>AVISO DE DÉBITO</v>
      </c>
      <c r="I8" s="17">
        <f>VLOOKUP(A8,Base[],6,0)</f>
        <v>0</v>
      </c>
      <c r="J8" s="51" t="str">
        <f>VLOOKUP(A8,Base[],7,0)</f>
        <v>TARIFA BANCÁRIA</v>
      </c>
      <c r="K8" s="19"/>
      <c r="L8" s="130">
        <v>1.3</v>
      </c>
      <c r="M8" s="21">
        <f>M7+ExtratoBanco36[[#This Row],[CRÉDITO]]-ExtratoBanco36[[#This Row],[DÉBITO]]</f>
        <v>1261459.8</v>
      </c>
    </row>
    <row r="9" spans="1:17" ht="12" customHeight="1" x14ac:dyDescent="0.25">
      <c r="A9" s="152">
        <v>14</v>
      </c>
      <c r="B9" s="128"/>
      <c r="C9" s="17" t="s">
        <v>590</v>
      </c>
      <c r="D9" s="129">
        <v>44771</v>
      </c>
      <c r="E9" s="17" t="str">
        <f>VLOOKUP(A9,Base[],2,0)</f>
        <v>3.3.90.39.39 - ENCARGOS FINANCEIROS INDEDUTÍVEIS</v>
      </c>
      <c r="F9" s="17" t="str">
        <f>VLOOKUP(A9,Base[],3,0)</f>
        <v>BANCO DO BRASIL</v>
      </c>
      <c r="G9" s="17">
        <f>VLOOKUP(A9,Base[],4,0)</f>
        <v>191</v>
      </c>
      <c r="H9" s="17" t="str">
        <f>VLOOKUP(A9,Base[],5,0)</f>
        <v>AVISO DE DÉBITO</v>
      </c>
      <c r="I9" s="17">
        <f>VLOOKUP(A9,Base[],6,0)</f>
        <v>0</v>
      </c>
      <c r="J9" s="51" t="str">
        <f>VLOOKUP(A9,Base[],7,0)</f>
        <v>TARIFA BANCÁRIA</v>
      </c>
      <c r="K9" s="19"/>
      <c r="L9" s="130">
        <v>1.3</v>
      </c>
      <c r="M9" s="21">
        <f>M8+ExtratoBanco36[[#This Row],[CRÉDITO]]-ExtratoBanco36[[#This Row],[DÉBITO]]</f>
        <v>1261458.5</v>
      </c>
    </row>
    <row r="10" spans="1:17" ht="12" customHeight="1" x14ac:dyDescent="0.25">
      <c r="A10" s="152">
        <v>14</v>
      </c>
      <c r="B10" s="175"/>
      <c r="C10" s="40" t="s">
        <v>590</v>
      </c>
      <c r="D10" s="176">
        <v>44771</v>
      </c>
      <c r="E10" s="17" t="str">
        <f>VLOOKUP(A10,Base[],2,0)</f>
        <v>3.3.90.39.39 - ENCARGOS FINANCEIROS INDEDUTÍVEIS</v>
      </c>
      <c r="F10" s="17" t="str">
        <f>VLOOKUP(A10,Base[],3,0)</f>
        <v>BANCO DO BRASIL</v>
      </c>
      <c r="G10" s="17">
        <f>VLOOKUP(A10,Base[],4,0)</f>
        <v>191</v>
      </c>
      <c r="H10" s="17" t="str">
        <f>VLOOKUP(A10,Base[],5,0)</f>
        <v>AVISO DE DÉBITO</v>
      </c>
      <c r="I10" s="17">
        <f>VLOOKUP(A10,Base[],6,0)</f>
        <v>0</v>
      </c>
      <c r="J10" s="51" t="str">
        <f>VLOOKUP(A10,Base[],7,0)</f>
        <v>TARIFA BANCÁRIA</v>
      </c>
      <c r="K10" s="41"/>
      <c r="L10" s="130">
        <v>1.3</v>
      </c>
      <c r="M10" s="21">
        <f>M9+ExtratoBanco36[[#This Row],[CRÉDITO]]-ExtratoBanco36[[#This Row],[DÉBITO]]</f>
        <v>1261457.2</v>
      </c>
    </row>
    <row r="11" spans="1:17" ht="12" customHeight="1" x14ac:dyDescent="0.25">
      <c r="A11" s="152">
        <v>14</v>
      </c>
      <c r="B11" s="128"/>
      <c r="C11" s="40" t="s">
        <v>590</v>
      </c>
      <c r="D11" s="129">
        <v>44775</v>
      </c>
      <c r="E11" s="17" t="str">
        <f>VLOOKUP(A11,Base[],2,0)</f>
        <v>3.3.90.39.39 - ENCARGOS FINANCEIROS INDEDUTÍVEIS</v>
      </c>
      <c r="F11" s="17" t="str">
        <f>VLOOKUP(A11,Base[],3,0)</f>
        <v>BANCO DO BRASIL</v>
      </c>
      <c r="G11" s="17">
        <f>VLOOKUP(A11,Base[],4,0)</f>
        <v>191</v>
      </c>
      <c r="H11" s="17" t="str">
        <f>VLOOKUP(A11,Base[],5,0)</f>
        <v>AVISO DE DÉBITO</v>
      </c>
      <c r="I11" s="177">
        <f>VLOOKUP(A11,Base[],6,0)</f>
        <v>0</v>
      </c>
      <c r="J11" s="51" t="str">
        <f>VLOOKUP(A11,Base[],7,0)</f>
        <v>TARIFA BANCÁRIA</v>
      </c>
      <c r="K11" s="19"/>
      <c r="L11" s="130">
        <v>59.95</v>
      </c>
      <c r="M11" s="21">
        <f>M10+ExtratoBanco36[[#This Row],[CRÉDITO]]-ExtratoBanco36[[#This Row],[DÉBITO]]</f>
        <v>1261397.25</v>
      </c>
    </row>
    <row r="12" spans="1:17" ht="12" customHeight="1" x14ac:dyDescent="0.25">
      <c r="A12" s="152"/>
      <c r="B12" s="128"/>
      <c r="C12" s="40" t="s">
        <v>590</v>
      </c>
      <c r="D12" s="176">
        <v>44784</v>
      </c>
      <c r="E12" s="17" t="e">
        <f>VLOOKUP(A12,Base[],2,0)</f>
        <v>#N/A</v>
      </c>
      <c r="F12" s="17" t="e">
        <f>VLOOKUP(A12,Base[],3,0)</f>
        <v>#N/A</v>
      </c>
      <c r="G12" s="17" t="e">
        <f>VLOOKUP(A12,Base[],4,0)</f>
        <v>#N/A</v>
      </c>
      <c r="H12" s="17" t="e">
        <f>VLOOKUP(A12,Base[],5,0)</f>
        <v>#N/A</v>
      </c>
      <c r="I12" s="177" t="e">
        <f>VLOOKUP(A12,Base[],6,0)</f>
        <v>#N/A</v>
      </c>
      <c r="J12" s="51" t="e">
        <f>VLOOKUP(A12,Base[],7,0)</f>
        <v>#N/A</v>
      </c>
      <c r="K12" s="19"/>
      <c r="L12" s="130">
        <v>1261000</v>
      </c>
      <c r="M12" s="21">
        <f>M11+ExtratoBanco36[[#This Row],[CRÉDITO]]-ExtratoBanco36[[#This Row],[DÉBITO]]</f>
        <v>397.25</v>
      </c>
      <c r="N12" s="178"/>
      <c r="O12" s="178" t="s">
        <v>681</v>
      </c>
      <c r="P12" s="178"/>
      <c r="Q12" s="178"/>
    </row>
    <row r="13" spans="1:17" ht="12" customHeight="1" x14ac:dyDescent="0.25">
      <c r="L13" s="153" t="s">
        <v>661</v>
      </c>
      <c r="M13" s="154">
        <v>397.25</v>
      </c>
      <c r="N13" s="178"/>
      <c r="O13" s="178"/>
      <c r="P13" s="178"/>
      <c r="Q13" s="178"/>
    </row>
    <row r="14" spans="1:17" x14ac:dyDescent="0.25">
      <c r="L14" s="118"/>
      <c r="M14" s="133">
        <f>M13-M12</f>
        <v>0</v>
      </c>
    </row>
  </sheetData>
  <conditionalFormatting sqref="A1:A12">
    <cfRule type="cellIs" dxfId="21" priority="2" operator="between">
      <formula>1</formula>
      <formula>4</formula>
    </cfRule>
    <cfRule type="cellIs" dxfId="20" priority="3" operator="between">
      <formula>6</formula>
      <formula>18</formula>
    </cfRule>
    <cfRule type="cellIs" dxfId="19" priority="4" operator="between">
      <formula>20</formula>
      <formula>23</formula>
    </cfRule>
    <cfRule type="cellIs" dxfId="18" priority="5" operator="equal">
      <formula>5</formula>
    </cfRule>
    <cfRule type="cellIs" dxfId="17" priority="6" operator="equal">
      <formula>19</formula>
    </cfRule>
    <cfRule type="cellIs" dxfId="16" priority="7" operator="equal">
      <formula>24</formula>
    </cfRule>
    <cfRule type="cellIs" dxfId="15" priority="8" operator="between">
      <formula>25</formula>
      <formula>50</formula>
    </cfRule>
    <cfRule type="cellIs" dxfId="14" priority="9" operator="equal">
      <formula>51</formula>
    </cfRule>
    <cfRule type="cellIs" dxfId="13" priority="10" operator="greaterThanOrEqual">
      <formula>52</formula>
    </cfRule>
  </conditionalFormatting>
  <conditionalFormatting sqref="M2:M12">
    <cfRule type="cellIs" dxfId="12" priority="12" operator="greaterThanOrEqual">
      <formula>0</formula>
    </cfRule>
  </conditionalFormatting>
  <conditionalFormatting sqref="M13">
    <cfRule type="cellIs" dxfId="11" priority="11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Conta 11754 - 2019</vt:lpstr>
      <vt:lpstr>Base</vt:lpstr>
      <vt:lpstr>TD</vt:lpstr>
      <vt:lpstr>CONTA 11575-4</vt:lpstr>
      <vt:lpstr>TD5</vt:lpstr>
      <vt:lpstr>CONTA 142981-0</vt:lpstr>
      <vt:lpstr>CONTA 11576-2</vt:lpstr>
      <vt:lpstr>Planilha1</vt:lpstr>
      <vt:lpstr>CONTA 13555-0</vt:lpstr>
      <vt:lpstr>CONTA 3793-1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dc:description/>
  <cp:lastModifiedBy>Aline Goncalves Campos Assis</cp:lastModifiedBy>
  <cp:revision>1</cp:revision>
  <cp:lastPrinted>2025-03-17T20:46:57Z</cp:lastPrinted>
  <dcterms:created xsi:type="dcterms:W3CDTF">2015-06-05T18:19:34Z</dcterms:created>
  <dcterms:modified xsi:type="dcterms:W3CDTF">2025-03-27T17:26:05Z</dcterms:modified>
  <dc:language>pt-BR</dc:language>
</cp:coreProperties>
</file>